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kkbtc015\Downloads\"/>
    </mc:Choice>
  </mc:AlternateContent>
  <xr:revisionPtr revIDLastSave="0" documentId="8_{081F9781-17D7-43A2-961B-139CDF9C8D91}" xr6:coauthVersionLast="47" xr6:coauthVersionMax="47" xr10:uidLastSave="{00000000-0000-0000-0000-000000000000}"/>
  <bookViews>
    <workbookView xWindow="-120" yWindow="-120" windowWidth="29040" windowHeight="15840" activeTab="2" xr2:uid="{00000000-000D-0000-FFFF-FFFF00000000}"/>
  </bookViews>
  <sheets>
    <sheet name="使用上の注意点" sheetId="6" r:id="rId1"/>
    <sheet name="時間入力シート" sheetId="1" r:id="rId2"/>
    <sheet name="時刻入力シート" sheetId="7" r:id="rId3"/>
    <sheet name="公示運賃ｼｰﾄ" sheetId="5" r:id="rId4"/>
  </sheets>
  <definedNames>
    <definedName name="_xlnm.Print_Area" localSheetId="0">使用上の注意点!$A$1:$L$71</definedName>
    <definedName name="_xlnm.Print_Area" localSheetId="1">時間入力シート!$A$1:$DY$132</definedName>
    <definedName name="_xlnm.Print_Area" localSheetId="2">時刻入力シート!$A$1:$CU$117</definedName>
    <definedName name="沖縄">公示運賃ｼｰﾄ!$AE$23:$AH$27</definedName>
    <definedName name="沖縄K">公示運賃ｼｰﾄ!$AE$18:$AH$22</definedName>
    <definedName name="沖縄交">公示運賃ｼｰﾄ!$AG$28:$AH$29</definedName>
    <definedName name="関東">公示運賃ｼｰﾄ!$Q$7:$T$11</definedName>
    <definedName name="関東K">公示運賃ｼｰﾄ!$Q$2:$T$6</definedName>
    <definedName name="関東交">公示運賃ｼｰﾄ!$S$12:$T$13</definedName>
    <definedName name="近畿">公示運賃ｼｰﾄ!$C$23:$F$27</definedName>
    <definedName name="近畿K">公示運賃ｼｰﾄ!$C$18:$F$22</definedName>
    <definedName name="近畿交">公示運賃ｼｰﾄ!$E$28:$F$29</definedName>
    <definedName name="九州">公示運賃ｼｰﾄ!$X$23:$AA$27</definedName>
    <definedName name="九州K">公示運賃ｼｰﾄ!$X$18:$AA$22</definedName>
    <definedName name="九州交">公示運賃ｼｰﾄ!$Z$28:$AA$29</definedName>
    <definedName name="四国">公示運賃ｼｰﾄ!$Q$23:$T$27</definedName>
    <definedName name="四国K">公示運賃ｼｰﾄ!$Q$18:$T$22</definedName>
    <definedName name="四国交">公示運賃ｼｰﾄ!$S$28:$T$29</definedName>
    <definedName name="中国">公示運賃ｼｰﾄ!$J$23:$M$27</definedName>
    <definedName name="中国K">公示運賃ｼｰﾄ!$J$18:$M$22</definedName>
    <definedName name="中国交">公示運賃ｼｰﾄ!$L$28:$M$29</definedName>
    <definedName name="中部">公示運賃ｼｰﾄ!$AE$7:$AH$11</definedName>
    <definedName name="中部K">公示運賃ｼｰﾄ!$AE$2:$AH$6</definedName>
    <definedName name="中部交">公示運賃ｼｰﾄ!$AG$12:$AH$13</definedName>
    <definedName name="東北">公示運賃ｼｰﾄ!$J$7:$M$11</definedName>
    <definedName name="東北K">公示運賃ｼｰﾄ!$J$2:$M$6</definedName>
    <definedName name="東北交">公示運賃ｼｰﾄ!$L$12:$M$13</definedName>
    <definedName name="北海道">公示運賃ｼｰﾄ!$C$7:$F$11</definedName>
    <definedName name="北海道K">公示運賃ｼｰﾄ!$C$2:$F$6</definedName>
    <definedName name="北海道交">公示運賃ｼｰﾄ!$E$12:$F$13</definedName>
    <definedName name="北陸">公示運賃ｼｰﾄ!$X$7:$AA$11</definedName>
    <definedName name="北陸K">公示運賃ｼｰﾄ!$X$2:$AA$6</definedName>
    <definedName name="北陸交">公示運賃ｼｰﾄ!$Z$12:$AA$13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8" i="7" l="1"/>
  <c r="V98" i="7"/>
  <c r="Q98" i="7"/>
  <c r="M98" i="7"/>
  <c r="W97" i="7"/>
  <c r="R97" i="7"/>
  <c r="N97" i="7"/>
  <c r="J97" i="7"/>
  <c r="AH95" i="7"/>
  <c r="Z95" i="7"/>
  <c r="V95" i="7"/>
  <c r="Q95" i="7"/>
  <c r="M95" i="7"/>
  <c r="W94" i="7"/>
  <c r="R94" i="7"/>
  <c r="N94" i="7"/>
  <c r="J94" i="7"/>
  <c r="M92" i="7"/>
  <c r="G92" i="7"/>
  <c r="M90" i="7"/>
  <c r="G90" i="7"/>
  <c r="N89" i="7"/>
  <c r="J89" i="7"/>
  <c r="O84" i="7"/>
  <c r="L84" i="7"/>
  <c r="K84" i="7"/>
  <c r="W83" i="7"/>
  <c r="O83" i="7"/>
  <c r="L83" i="7"/>
  <c r="K83" i="7"/>
  <c r="C82" i="7"/>
  <c r="W81" i="7"/>
  <c r="O81" i="7"/>
  <c r="L81" i="7"/>
  <c r="K81" i="7"/>
  <c r="W80" i="7"/>
  <c r="O80" i="7"/>
  <c r="L80" i="7"/>
  <c r="K80" i="7"/>
  <c r="L79" i="7"/>
  <c r="G79" i="7"/>
  <c r="C78" i="7"/>
  <c r="S77" i="7"/>
  <c r="P77" i="7"/>
  <c r="O77" i="7"/>
  <c r="J77" i="7"/>
  <c r="Q76" i="7"/>
  <c r="M76" i="7"/>
  <c r="AD54" i="7"/>
  <c r="AI53" i="7"/>
  <c r="AA53" i="7"/>
  <c r="X53" i="7"/>
  <c r="W53" i="7"/>
  <c r="I53" i="7"/>
  <c r="U51" i="7"/>
  <c r="Q51" i="7"/>
  <c r="P51" i="7"/>
  <c r="Q50" i="7"/>
  <c r="L50" i="7"/>
  <c r="I50" i="7"/>
  <c r="T39" i="7"/>
  <c r="R39" i="7" s="1"/>
  <c r="BY33" i="7"/>
  <c r="CJ31" i="7"/>
  <c r="CF31" i="7"/>
  <c r="CN31" i="7" s="1"/>
  <c r="BY31" i="7" s="1"/>
  <c r="BU31" i="7" s="1"/>
  <c r="AB31" i="7"/>
  <c r="G31" i="7"/>
  <c r="AI31" i="7" s="1"/>
  <c r="CJ29" i="7"/>
  <c r="BP29" i="7" s="1"/>
  <c r="CF29" i="7"/>
  <c r="AB29" i="7"/>
  <c r="G29" i="7"/>
  <c r="CJ27" i="7"/>
  <c r="CF27" i="7"/>
  <c r="AB27" i="7"/>
  <c r="G27" i="7"/>
  <c r="CJ25" i="7"/>
  <c r="CF25" i="7"/>
  <c r="AI25" i="7"/>
  <c r="AB25" i="7"/>
  <c r="G25" i="7"/>
  <c r="AF25" i="7" s="1"/>
  <c r="CJ23" i="7"/>
  <c r="CF23" i="7"/>
  <c r="AB23" i="7"/>
  <c r="G23" i="7"/>
  <c r="CJ21" i="7"/>
  <c r="CF21" i="7"/>
  <c r="AB21" i="7"/>
  <c r="G21" i="7"/>
  <c r="CJ19" i="7"/>
  <c r="CF19" i="7"/>
  <c r="CN19" i="7" s="1"/>
  <c r="BY19" i="7" s="1"/>
  <c r="BU19" i="7" s="1"/>
  <c r="AB19" i="7"/>
  <c r="AI19" i="7" s="1"/>
  <c r="G19" i="7"/>
  <c r="CJ17" i="7"/>
  <c r="CF17" i="7"/>
  <c r="CN17" i="7" s="1"/>
  <c r="BY17" i="7" s="1"/>
  <c r="BU17" i="7" s="1"/>
  <c r="CC17" i="7" s="1"/>
  <c r="AB17" i="7"/>
  <c r="AI17" i="7" s="1"/>
  <c r="G17" i="7"/>
  <c r="CJ15" i="7"/>
  <c r="CF15" i="7"/>
  <c r="AB15" i="7"/>
  <c r="G15" i="7"/>
  <c r="CJ13" i="7"/>
  <c r="CF13" i="7"/>
  <c r="AB13" i="7"/>
  <c r="G13" i="7"/>
  <c r="BD5" i="7"/>
  <c r="N92" i="7"/>
  <c r="J92" i="7"/>
  <c r="J90" i="7"/>
  <c r="N90" i="7"/>
  <c r="R37" i="7"/>
  <c r="N37" i="7"/>
  <c r="BP17" i="7" l="1"/>
  <c r="BP31" i="7"/>
  <c r="W32" i="7"/>
  <c r="CN25" i="7"/>
  <c r="BY25" i="7" s="1"/>
  <c r="BU25" i="7" s="1"/>
  <c r="W18" i="7"/>
  <c r="CN13" i="7"/>
  <c r="BY13" i="7" s="1"/>
  <c r="BU13" i="7" s="1"/>
  <c r="BR13" i="7" s="1"/>
  <c r="AF17" i="7"/>
  <c r="CN23" i="7"/>
  <c r="BY23" i="7" s="1"/>
  <c r="BU23" i="7" s="1"/>
  <c r="BR23" i="7" s="1"/>
  <c r="BR31" i="7"/>
  <c r="CC31" i="7"/>
  <c r="CN29" i="7"/>
  <c r="BY29" i="7" s="1"/>
  <c r="BU29" i="7" s="1"/>
  <c r="BR29" i="7" s="1"/>
  <c r="Y48" i="7"/>
  <c r="AF23" i="7"/>
  <c r="AN23" i="7" s="1"/>
  <c r="W26" i="7"/>
  <c r="AF31" i="7"/>
  <c r="BP23" i="7"/>
  <c r="CN15" i="7"/>
  <c r="BY15" i="7" s="1"/>
  <c r="BU15" i="7" s="1"/>
  <c r="BP27" i="7"/>
  <c r="BP21" i="7"/>
  <c r="J98" i="7"/>
  <c r="R98" i="7"/>
  <c r="U46" i="7"/>
  <c r="U48" i="7"/>
  <c r="J95" i="7"/>
  <c r="R95" i="7"/>
  <c r="CC23" i="7"/>
  <c r="CC19" i="7"/>
  <c r="BR19" i="7"/>
  <c r="W24" i="7"/>
  <c r="W28" i="7"/>
  <c r="AF27" i="7"/>
  <c r="AI29" i="7"/>
  <c r="W30" i="7"/>
  <c r="AF29" i="7"/>
  <c r="BR17" i="7"/>
  <c r="BP19" i="7"/>
  <c r="W95" i="7"/>
  <c r="AQ17" i="7"/>
  <c r="AN17" i="7"/>
  <c r="W20" i="7"/>
  <c r="AF19" i="7"/>
  <c r="AI21" i="7"/>
  <c r="W22" i="7"/>
  <c r="AF21" i="7"/>
  <c r="CN21" i="7"/>
  <c r="BY21" i="7" s="1"/>
  <c r="BU21" i="7" s="1"/>
  <c r="BP25" i="7"/>
  <c r="AI27" i="7"/>
  <c r="CN27" i="7"/>
  <c r="BY27" i="7" s="1"/>
  <c r="BU27" i="7" s="1"/>
  <c r="AQ25" i="7"/>
  <c r="AN25" i="7"/>
  <c r="AI23" i="7"/>
  <c r="Y46" i="7"/>
  <c r="Q40" i="7"/>
  <c r="W98" i="7"/>
  <c r="W39" i="7"/>
  <c r="AH113" i="1"/>
  <c r="R37" i="1"/>
  <c r="S11" i="7"/>
  <c r="N11" i="7"/>
  <c r="CC13" i="7" l="1"/>
  <c r="BR25" i="7"/>
  <c r="CC25" i="7"/>
  <c r="CC29" i="7"/>
  <c r="BP13" i="7"/>
  <c r="W14" i="7" s="1"/>
  <c r="BP15" i="7"/>
  <c r="W16" i="7" s="1"/>
  <c r="AQ23" i="7"/>
  <c r="BR15" i="7"/>
  <c r="AF15" i="7" s="1"/>
  <c r="CC15" i="7"/>
  <c r="AN31" i="7"/>
  <c r="AQ31" i="7"/>
  <c r="K46" i="7"/>
  <c r="K48" i="7"/>
  <c r="AQ29" i="7"/>
  <c r="AN29" i="7"/>
  <c r="BR21" i="7"/>
  <c r="CC21" i="7"/>
  <c r="AQ19" i="7"/>
  <c r="AN19" i="7"/>
  <c r="AF13" i="7"/>
  <c r="CC27" i="7"/>
  <c r="BR27" i="7"/>
  <c r="AQ21" i="7"/>
  <c r="AN21" i="7"/>
  <c r="AQ27" i="7"/>
  <c r="AN27" i="7"/>
  <c r="AN15" i="7" l="1"/>
  <c r="AQ15" i="7"/>
  <c r="AI15" i="7"/>
  <c r="AQ13" i="7"/>
  <c r="AN13" i="7"/>
  <c r="AD34" i="7"/>
  <c r="AI13" i="7"/>
  <c r="S89" i="1"/>
  <c r="AF33" i="7" l="1"/>
  <c r="O48" i="7" s="1"/>
  <c r="AQ33" i="7"/>
  <c r="U69" i="7" s="1"/>
  <c r="N98" i="7"/>
  <c r="AA98" i="7" s="1"/>
  <c r="AK113" i="7" s="1"/>
  <c r="N95" i="7"/>
  <c r="AA95" i="7" s="1"/>
  <c r="AK105" i="7" s="1"/>
  <c r="AW4" i="1"/>
  <c r="R10" i="1"/>
  <c r="U72" i="7" l="1"/>
  <c r="Y72" i="7"/>
  <c r="AH65" i="7"/>
  <c r="Y64" i="7"/>
  <c r="AB62" i="7"/>
  <c r="AC71" i="7"/>
  <c r="C58" i="7"/>
  <c r="U58" i="7"/>
  <c r="AH72" i="7"/>
  <c r="AT65" i="7"/>
  <c r="U65" i="7"/>
  <c r="AN62" i="7"/>
  <c r="M72" i="7"/>
  <c r="AT62" i="7"/>
  <c r="Z72" i="7"/>
  <c r="AC61" i="7"/>
  <c r="AC69" i="7"/>
  <c r="AB65" i="7"/>
  <c r="J61" i="7"/>
  <c r="J68" i="7"/>
  <c r="J69" i="7"/>
  <c r="Y65" i="7"/>
  <c r="AH62" i="7"/>
  <c r="M62" i="7"/>
  <c r="U71" i="7"/>
  <c r="Y71" i="7"/>
  <c r="Z61" i="7"/>
  <c r="K56" i="7"/>
  <c r="U68" i="7"/>
  <c r="AB68" i="7"/>
  <c r="M64" i="7"/>
  <c r="AB72" i="7"/>
  <c r="M65" i="7"/>
  <c r="Y62" i="7"/>
  <c r="H58" i="7"/>
  <c r="AC68" i="7"/>
  <c r="Z69" i="7"/>
  <c r="AB64" i="7"/>
  <c r="AN72" i="7"/>
  <c r="AC64" i="7"/>
  <c r="Z64" i="7"/>
  <c r="Z68" i="7"/>
  <c r="Y58" i="7"/>
  <c r="J71" i="7"/>
  <c r="J65" i="7"/>
  <c r="O46" i="7"/>
  <c r="AF46" i="7" s="1"/>
  <c r="O53" i="7" s="1"/>
  <c r="J57" i="7"/>
  <c r="AT69" i="7"/>
  <c r="AN65" i="7"/>
  <c r="M61" i="7"/>
  <c r="AB69" i="7"/>
  <c r="Z71" i="7"/>
  <c r="Z65" i="7"/>
  <c r="AF48" i="7"/>
  <c r="F84" i="7" s="1"/>
  <c r="P84" i="7" s="1"/>
  <c r="AD113" i="7" s="1"/>
  <c r="C60" i="7"/>
  <c r="AC72" i="7"/>
  <c r="Y69" i="7"/>
  <c r="AB61" i="7"/>
  <c r="AN69" i="7"/>
  <c r="F57" i="7"/>
  <c r="C67" i="7"/>
  <c r="AC62" i="7"/>
  <c r="L58" i="7"/>
  <c r="AH71" i="7"/>
  <c r="J62" i="7"/>
  <c r="M71" i="7"/>
  <c r="I58" i="7"/>
  <c r="Y68" i="7"/>
  <c r="M68" i="7"/>
  <c r="U64" i="7"/>
  <c r="M69" i="7"/>
  <c r="AH69" i="7"/>
  <c r="Y61" i="7"/>
  <c r="AH64" i="7"/>
  <c r="Z62" i="7"/>
  <c r="AB71" i="7"/>
  <c r="AC58" i="7"/>
  <c r="AH68" i="7"/>
  <c r="AH61" i="7"/>
  <c r="U62" i="7"/>
  <c r="AC65" i="7"/>
  <c r="J64" i="7"/>
  <c r="J72" i="7"/>
  <c r="U61" i="7"/>
  <c r="AI62" i="7"/>
  <c r="AI69" i="7"/>
  <c r="AI72" i="7"/>
  <c r="AI65" i="7"/>
  <c r="AQ33" i="1"/>
  <c r="AI61" i="7" l="1"/>
  <c r="AI68" i="7"/>
  <c r="AI64" i="7"/>
  <c r="AO65" i="7" s="1"/>
  <c r="S67" i="1"/>
  <c r="D69" i="1"/>
  <c r="AI71" i="7"/>
  <c r="AO72" i="7" s="1"/>
  <c r="X113" i="7" s="1"/>
  <c r="R113" i="7"/>
  <c r="F81" i="7"/>
  <c r="P81" i="7" s="1"/>
  <c r="L51" i="7"/>
  <c r="V51" i="7" s="1"/>
  <c r="AB53" i="7" s="1"/>
  <c r="F80" i="7" s="1"/>
  <c r="P80" i="7" s="1"/>
  <c r="AD105" i="7" s="1"/>
  <c r="AO69" i="7"/>
  <c r="AO62" i="7"/>
  <c r="X105" i="7" s="1"/>
  <c r="R67" i="1"/>
  <c r="AA67" i="1"/>
  <c r="U69" i="1"/>
  <c r="U67" i="1"/>
  <c r="R69" i="1"/>
  <c r="H67" i="1"/>
  <c r="AH69" i="1"/>
  <c r="V69" i="1"/>
  <c r="AA69" i="1"/>
  <c r="V67" i="1"/>
  <c r="S69" i="1"/>
  <c r="AB31" i="1"/>
  <c r="AB29" i="1"/>
  <c r="AF31" i="1"/>
  <c r="AF29" i="1"/>
  <c r="AB27" i="1"/>
  <c r="AB25" i="1"/>
  <c r="AB23" i="1"/>
  <c r="AB21" i="1"/>
  <c r="AB19" i="1"/>
  <c r="AB17" i="1"/>
  <c r="AF27" i="1"/>
  <c r="AF25" i="1"/>
  <c r="AF23" i="1"/>
  <c r="AF21" i="1"/>
  <c r="AF19" i="1"/>
  <c r="AB15" i="1"/>
  <c r="V24" i="1"/>
  <c r="V22" i="1"/>
  <c r="V20" i="1"/>
  <c r="V32" i="1"/>
  <c r="V30" i="1"/>
  <c r="V28" i="1"/>
  <c r="V26" i="1"/>
  <c r="L109" i="7" l="1"/>
  <c r="L111" i="7" s="1"/>
  <c r="L113" i="7" s="1"/>
  <c r="R105" i="7"/>
  <c r="L101" i="7" s="1"/>
  <c r="F83" i="7"/>
  <c r="P83" i="7" s="1"/>
  <c r="L103" i="7" l="1"/>
  <c r="L105" i="7" s="1"/>
  <c r="B117" i="7" l="1"/>
  <c r="Q116" i="7"/>
  <c r="K116" i="7"/>
  <c r="B116" i="7"/>
  <c r="AF93" i="1"/>
  <c r="P98" i="1"/>
  <c r="S98" i="1"/>
  <c r="O98" i="1"/>
  <c r="AP97" i="1"/>
  <c r="AI97" i="1"/>
  <c r="AH97" i="1"/>
  <c r="AE97" i="1"/>
  <c r="AB54" i="1" l="1"/>
  <c r="I56" i="1" l="1"/>
  <c r="O58" i="1"/>
  <c r="Z113" i="1"/>
  <c r="V113" i="1"/>
  <c r="Q113" i="1"/>
  <c r="M113" i="1"/>
  <c r="AH53" i="1" l="1"/>
  <c r="AA53" i="1"/>
  <c r="X53" i="1"/>
  <c r="W53" i="1"/>
  <c r="O53" i="1"/>
  <c r="I53" i="1"/>
  <c r="U51" i="1"/>
  <c r="Q50" i="1"/>
  <c r="P51" i="1"/>
  <c r="L50" i="1"/>
  <c r="I50" i="1"/>
  <c r="W110" i="1"/>
  <c r="R110" i="1"/>
  <c r="M110" i="1"/>
  <c r="J110" i="1"/>
  <c r="J108" i="1"/>
  <c r="J106" i="1"/>
  <c r="Q108" i="1"/>
  <c r="Q106" i="1"/>
  <c r="N69" i="1" l="1"/>
  <c r="AB69" i="1" s="1"/>
  <c r="R113" i="1"/>
  <c r="J113" i="1"/>
  <c r="Q51" i="1"/>
  <c r="K48" i="1" l="1"/>
  <c r="N67" i="1"/>
  <c r="AB67" i="1" s="1"/>
  <c r="AI69" i="1" s="1"/>
  <c r="X128" i="1" s="1"/>
  <c r="V18" i="1"/>
  <c r="AB13" i="1" l="1"/>
  <c r="U48" i="1" l="1"/>
  <c r="AF13" i="1"/>
  <c r="V16" i="1" l="1"/>
  <c r="V14" i="1"/>
  <c r="T39" i="1"/>
  <c r="Q40" i="1" s="1"/>
  <c r="AF17" i="1"/>
  <c r="AF15" i="1"/>
  <c r="AC33" i="1" l="1"/>
  <c r="AD34" i="1"/>
  <c r="W113" i="1"/>
  <c r="S60" i="1"/>
  <c r="O60" i="1"/>
  <c r="W60" i="1"/>
  <c r="Y48" i="1"/>
  <c r="R39" i="1"/>
  <c r="J58" i="1"/>
  <c r="W39" i="1"/>
  <c r="N113" i="1" l="1"/>
  <c r="AA113" i="1" s="1"/>
  <c r="AK128" i="1" s="1"/>
  <c r="O48" i="1"/>
  <c r="AF48" i="1" s="1"/>
  <c r="R128" i="1" s="1"/>
  <c r="J98" i="1" l="1"/>
  <c r="T98" i="1" s="1"/>
  <c r="AD128" i="1" s="1"/>
  <c r="L124" i="1" s="1"/>
  <c r="L51" i="1"/>
  <c r="V51" i="1" s="1"/>
  <c r="AB53" i="1" l="1"/>
  <c r="L126" i="1" l="1"/>
  <c r="L128" i="1" l="1"/>
  <c r="B132" i="1" l="1"/>
  <c r="B131" i="1"/>
  <c r="R131" i="1"/>
  <c r="K131" i="1"/>
</calcChain>
</file>

<file path=xl/sharedStrings.xml><?xml version="1.0" encoding="utf-8"?>
<sst xmlns="http://schemas.openxmlformats.org/spreadsheetml/2006/main" count="657" uniqueCount="141">
  <si>
    <t>車種区分</t>
    <rPh sb="0" eb="2">
      <t>シャシュ</t>
    </rPh>
    <rPh sb="2" eb="4">
      <t>クブン</t>
    </rPh>
    <phoneticPr fontId="2"/>
  </si>
  <si>
    <t>運賃</t>
    <rPh sb="0" eb="2">
      <t>ウンチン</t>
    </rPh>
    <phoneticPr fontId="2"/>
  </si>
  <si>
    <t>キロ制運賃</t>
    <rPh sb="2" eb="3">
      <t>セイ</t>
    </rPh>
    <rPh sb="3" eb="5">
      <t>ウンチン</t>
    </rPh>
    <phoneticPr fontId="2"/>
  </si>
  <si>
    <t>大型車</t>
    <rPh sb="0" eb="2">
      <t>オオガタ</t>
    </rPh>
    <rPh sb="2" eb="3">
      <t>シャ</t>
    </rPh>
    <phoneticPr fontId="2"/>
  </si>
  <si>
    <t>中型車</t>
    <rPh sb="0" eb="2">
      <t>チュウガタ</t>
    </rPh>
    <rPh sb="2" eb="3">
      <t>シャ</t>
    </rPh>
    <phoneticPr fontId="2"/>
  </si>
  <si>
    <t>時間制運賃</t>
    <rPh sb="0" eb="3">
      <t>ジカンセイ</t>
    </rPh>
    <rPh sb="3" eb="5">
      <t>ウンチン</t>
    </rPh>
    <phoneticPr fontId="2"/>
  </si>
  <si>
    <t>上限額</t>
    <rPh sb="0" eb="3">
      <t>ジョウゲンガク</t>
    </rPh>
    <phoneticPr fontId="2"/>
  </si>
  <si>
    <t>下限額</t>
    <rPh sb="0" eb="3">
      <t>カゲンガク</t>
    </rPh>
    <phoneticPr fontId="2"/>
  </si>
  <si>
    <t>料金</t>
    <rPh sb="0" eb="2">
      <t>リョウキン</t>
    </rPh>
    <phoneticPr fontId="2"/>
  </si>
  <si>
    <t>深夜早朝運行料金</t>
    <rPh sb="0" eb="2">
      <t>シンヤ</t>
    </rPh>
    <rPh sb="2" eb="4">
      <t>ソウチョウ</t>
    </rPh>
    <rPh sb="4" eb="6">
      <t>ウンコウ</t>
    </rPh>
    <rPh sb="6" eb="8">
      <t>リョウキン</t>
    </rPh>
    <phoneticPr fontId="2"/>
  </si>
  <si>
    <t>特殊車両割増料金</t>
    <rPh sb="0" eb="2">
      <t>トクシュ</t>
    </rPh>
    <rPh sb="2" eb="4">
      <t>シャリョウ</t>
    </rPh>
    <rPh sb="4" eb="6">
      <t>ワリマシ</t>
    </rPh>
    <rPh sb="6" eb="8">
      <t>リョウキン</t>
    </rPh>
    <phoneticPr fontId="2"/>
  </si>
  <si>
    <t>キロ単価</t>
    <rPh sb="2" eb="4">
      <t>タンカ</t>
    </rPh>
    <phoneticPr fontId="2"/>
  </si>
  <si>
    <t>時間単価</t>
    <rPh sb="0" eb="2">
      <t>ジカン</t>
    </rPh>
    <rPh sb="2" eb="4">
      <t>タンカ</t>
    </rPh>
    <phoneticPr fontId="2"/>
  </si>
  <si>
    <t>×</t>
    <phoneticPr fontId="2"/>
  </si>
  <si>
    <t>＋</t>
    <phoneticPr fontId="2"/>
  </si>
  <si>
    <t>時間</t>
    <rPh sb="0" eb="2">
      <t>ジカン</t>
    </rPh>
    <phoneticPr fontId="2"/>
  </si>
  <si>
    <t>＝</t>
    <phoneticPr fontId="2"/>
  </si>
  <si>
    <t>走行距離</t>
    <rPh sb="0" eb="2">
      <t>ソウコウ</t>
    </rPh>
    <rPh sb="2" eb="4">
      <t>キョリ</t>
    </rPh>
    <phoneticPr fontId="2"/>
  </si>
  <si>
    <t>㎞</t>
    <phoneticPr fontId="2"/>
  </si>
  <si>
    <t>時間制</t>
    <rPh sb="0" eb="3">
      <t>ジカンセイ</t>
    </rPh>
    <phoneticPr fontId="2"/>
  </si>
  <si>
    <t>キロ制</t>
    <rPh sb="2" eb="3">
      <t>セイ</t>
    </rPh>
    <phoneticPr fontId="2"/>
  </si>
  <si>
    <t>分</t>
    <rPh sb="0" eb="1">
      <t>フン</t>
    </rPh>
    <phoneticPr fontId="2"/>
  </si>
  <si>
    <t>運賃計算の対象となる総拘束時間</t>
    <rPh sb="0" eb="2">
      <t>ウンチン</t>
    </rPh>
    <rPh sb="2" eb="4">
      <t>ケイサン</t>
    </rPh>
    <rPh sb="5" eb="7">
      <t>タイショウ</t>
    </rPh>
    <rPh sb="10" eb="11">
      <t>ソウ</t>
    </rPh>
    <rPh sb="11" eb="13">
      <t>コウソク</t>
    </rPh>
    <rPh sb="13" eb="15">
      <t>ジカン</t>
    </rPh>
    <phoneticPr fontId="2"/>
  </si>
  <si>
    <t>深夜早朝料金</t>
    <rPh sb="0" eb="2">
      <t>シンヤ</t>
    </rPh>
    <rPh sb="2" eb="4">
      <t>ソウチョウ</t>
    </rPh>
    <rPh sb="4" eb="6">
      <t>リョウキン</t>
    </rPh>
    <phoneticPr fontId="2"/>
  </si>
  <si>
    <t>特殊車両料金</t>
    <rPh sb="0" eb="2">
      <t>トクシュ</t>
    </rPh>
    <rPh sb="2" eb="4">
      <t>シャリョウ</t>
    </rPh>
    <rPh sb="4" eb="6">
      <t>リョウキン</t>
    </rPh>
    <phoneticPr fontId="2"/>
  </si>
  <si>
    <t>交替運転者配置料金</t>
    <rPh sb="0" eb="2">
      <t>コウタイ</t>
    </rPh>
    <rPh sb="2" eb="5">
      <t>ウンテンシャ</t>
    </rPh>
    <rPh sb="5" eb="7">
      <t>ハイチ</t>
    </rPh>
    <rPh sb="7" eb="9">
      <t>リョウキン</t>
    </rPh>
    <phoneticPr fontId="2"/>
  </si>
  <si>
    <t>２日目：</t>
    <rPh sb="1" eb="2">
      <t>ヒ</t>
    </rPh>
    <rPh sb="2" eb="3">
      <t>メ</t>
    </rPh>
    <phoneticPr fontId="2"/>
  </si>
  <si>
    <t>１日目：</t>
    <rPh sb="1" eb="3">
      <t>ニチメ</t>
    </rPh>
    <phoneticPr fontId="2"/>
  </si>
  <si>
    <t>３日目：</t>
    <rPh sb="1" eb="3">
      <t>ヒメ</t>
    </rPh>
    <phoneticPr fontId="2"/>
  </si>
  <si>
    <t>分＋点呼点検2時間＝</t>
    <rPh sb="0" eb="1">
      <t>フン</t>
    </rPh>
    <rPh sb="2" eb="4">
      <t>テンコ</t>
    </rPh>
    <rPh sb="4" eb="6">
      <t>テンケン</t>
    </rPh>
    <rPh sb="7" eb="9">
      <t>ジカン</t>
    </rPh>
    <phoneticPr fontId="2"/>
  </si>
  <si>
    <t>←</t>
    <phoneticPr fontId="2"/>
  </si>
  <si>
    <t>運　賃</t>
    <rPh sb="0" eb="1">
      <t>ウン</t>
    </rPh>
    <rPh sb="2" eb="3">
      <t>チン</t>
    </rPh>
    <phoneticPr fontId="2"/>
  </si>
  <si>
    <t>運賃計算</t>
    <rPh sb="0" eb="2">
      <t>ウンチン</t>
    </rPh>
    <rPh sb="2" eb="4">
      <t>ケイサン</t>
    </rPh>
    <phoneticPr fontId="2"/>
  </si>
  <si>
    <t>総拘束時間</t>
    <rPh sb="0" eb="1">
      <t>ソウ</t>
    </rPh>
    <rPh sb="1" eb="3">
      <t>コウソク</t>
    </rPh>
    <rPh sb="3" eb="5">
      <t>ジカン</t>
    </rPh>
    <phoneticPr fontId="2"/>
  </si>
  <si>
    <t>（</t>
    <phoneticPr fontId="2"/>
  </si>
  <si>
    <t>）</t>
    <phoneticPr fontId="2"/>
  </si>
  <si>
    <t>時間制運賃額＋キロ制運賃額</t>
    <rPh sb="0" eb="3">
      <t>ジカンセイ</t>
    </rPh>
    <rPh sb="3" eb="5">
      <t>ウンチン</t>
    </rPh>
    <rPh sb="5" eb="6">
      <t>ガク</t>
    </rPh>
    <rPh sb="9" eb="10">
      <t>セイ</t>
    </rPh>
    <rPh sb="10" eb="12">
      <t>ウンチン</t>
    </rPh>
    <rPh sb="12" eb="13">
      <t>ガク</t>
    </rPh>
    <phoneticPr fontId="2"/>
  </si>
  <si>
    <t>（内、深夜早朝に係る時間）</t>
    <rPh sb="1" eb="2">
      <t>ウチ</t>
    </rPh>
    <rPh sb="3" eb="5">
      <t>シンヤ</t>
    </rPh>
    <rPh sb="5" eb="7">
      <t>ソウチョウ</t>
    </rPh>
    <rPh sb="8" eb="9">
      <t>カカ</t>
    </rPh>
    <rPh sb="10" eb="12">
      <t>ジカン</t>
    </rPh>
    <phoneticPr fontId="2"/>
  </si>
  <si>
    <t>深夜早朝時間 計</t>
    <rPh sb="7" eb="8">
      <t>ケイ</t>
    </rPh>
    <phoneticPr fontId="2"/>
  </si>
  <si>
    <t>→</t>
    <phoneticPr fontId="2"/>
  </si>
  <si>
    <t>料　金</t>
    <rPh sb="0" eb="1">
      <t>リョウ</t>
    </rPh>
    <rPh sb="2" eb="3">
      <t>キン</t>
    </rPh>
    <phoneticPr fontId="2"/>
  </si>
  <si>
    <t>消費税</t>
    <rPh sb="0" eb="3">
      <t>ショウヒゼイ</t>
    </rPh>
    <phoneticPr fontId="2"/>
  </si>
  <si>
    <t>運賃＋料金</t>
    <rPh sb="0" eb="2">
      <t>ウンチン</t>
    </rPh>
    <rPh sb="3" eb="5">
      <t>リョウキン</t>
    </rPh>
    <phoneticPr fontId="2"/>
  </si>
  <si>
    <t>合   計</t>
    <rPh sb="0" eb="1">
      <t>ゴウ</t>
    </rPh>
    <rPh sb="4" eb="5">
      <t>ケイ</t>
    </rPh>
    <phoneticPr fontId="2"/>
  </si>
  <si>
    <t>出庫時間</t>
    <rPh sb="0" eb="2">
      <t>シュッコ</t>
    </rPh>
    <rPh sb="2" eb="4">
      <t>ジカン</t>
    </rPh>
    <phoneticPr fontId="2"/>
  </si>
  <si>
    <t>帰庫時間</t>
    <rPh sb="0" eb="1">
      <t>キ</t>
    </rPh>
    <rPh sb="1" eb="2">
      <t>コ</t>
    </rPh>
    <rPh sb="2" eb="4">
      <t>ジカン</t>
    </rPh>
    <phoneticPr fontId="2"/>
  </si>
  <si>
    <t>時</t>
    <rPh sb="0" eb="1">
      <t>ジ</t>
    </rPh>
    <phoneticPr fontId="2"/>
  </si>
  <si>
    <t>(</t>
    <phoneticPr fontId="2"/>
  </si>
  <si>
    <t>)</t>
    <phoneticPr fontId="2"/>
  </si>
  <si>
    <t>拘束時間</t>
    <rPh sb="0" eb="2">
      <t>コウソク</t>
    </rPh>
    <rPh sb="2" eb="4">
      <t>ジカン</t>
    </rPh>
    <phoneticPr fontId="2"/>
  </si>
  <si>
    <r>
      <t xml:space="preserve">始業点呼・点検
</t>
    </r>
    <r>
      <rPr>
        <b/>
        <sz val="9"/>
        <color rgb="FF002060"/>
        <rFont val="ＭＳ Ｐゴシック"/>
        <family val="3"/>
        <charset val="128"/>
        <scheme val="minor"/>
      </rPr>
      <t>出庫前１時間</t>
    </r>
    <rPh sb="0" eb="2">
      <t>シギョウ</t>
    </rPh>
    <rPh sb="2" eb="4">
      <t>テンコ</t>
    </rPh>
    <rPh sb="5" eb="7">
      <t>テンケン</t>
    </rPh>
    <rPh sb="8" eb="10">
      <t>シュッコ</t>
    </rPh>
    <rPh sb="10" eb="11">
      <t>マエ</t>
    </rPh>
    <rPh sb="12" eb="14">
      <t>ジカン</t>
    </rPh>
    <phoneticPr fontId="2"/>
  </si>
  <si>
    <r>
      <t xml:space="preserve">終業点呼・点検
</t>
    </r>
    <r>
      <rPr>
        <b/>
        <sz val="9"/>
        <color rgb="FF002060"/>
        <rFont val="ＭＳ Ｐゴシック"/>
        <family val="3"/>
        <charset val="128"/>
        <scheme val="minor"/>
      </rPr>
      <t>帰庫後１時間</t>
    </r>
    <rPh sb="0" eb="2">
      <t>シュウギョウ</t>
    </rPh>
    <rPh sb="2" eb="4">
      <t>テンコ</t>
    </rPh>
    <rPh sb="5" eb="7">
      <t>テンケン</t>
    </rPh>
    <rPh sb="8" eb="10">
      <t>キコ</t>
    </rPh>
    <rPh sb="10" eb="11">
      <t>ゴ</t>
    </rPh>
    <rPh sb="12" eb="14">
      <t>ジカン</t>
    </rPh>
    <phoneticPr fontId="2"/>
  </si>
  <si>
    <t>深夜早朝</t>
    <rPh sb="0" eb="2">
      <t>シンヤ</t>
    </rPh>
    <rPh sb="2" eb="4">
      <t>ソウチョウ</t>
    </rPh>
    <phoneticPr fontId="2"/>
  </si>
  <si>
    <t>走行時間</t>
    <rPh sb="0" eb="2">
      <t>ソウコウ</t>
    </rPh>
    <rPh sb="2" eb="4">
      <t>ジカン</t>
    </rPh>
    <phoneticPr fontId="2"/>
  </si>
  <si>
    <t>点呼時間</t>
    <rPh sb="0" eb="2">
      <t>テンコ</t>
    </rPh>
    <rPh sb="2" eb="4">
      <t>ジカン</t>
    </rPh>
    <phoneticPr fontId="2"/>
  </si>
  <si>
    <t>（走行時間）</t>
    <rPh sb="1" eb="3">
      <t>ソウコウ</t>
    </rPh>
    <rPh sb="3" eb="5">
      <t>ジカン</t>
    </rPh>
    <phoneticPr fontId="2"/>
  </si>
  <si>
    <t>（拘束時間）</t>
    <rPh sb="1" eb="3">
      <t>コウソク</t>
    </rPh>
    <rPh sb="3" eb="5">
      <t>ジカン</t>
    </rPh>
    <phoneticPr fontId="2"/>
  </si>
  <si>
    <t>帰庫時間</t>
    <rPh sb="0" eb="2">
      <t>キコ</t>
    </rPh>
    <rPh sb="2" eb="4">
      <t>ジカン</t>
    </rPh>
    <phoneticPr fontId="2"/>
  </si>
  <si>
    <t>北海道運輸局公示運賃</t>
    <rPh sb="6" eb="8">
      <t>コウジ</t>
    </rPh>
    <rPh sb="8" eb="10">
      <t>ウンチン</t>
    </rPh>
    <phoneticPr fontId="2"/>
  </si>
  <si>
    <t>東北運輸局公示運賃</t>
    <rPh sb="5" eb="7">
      <t>コウジ</t>
    </rPh>
    <rPh sb="7" eb="9">
      <t>ウンチン</t>
    </rPh>
    <phoneticPr fontId="2"/>
  </si>
  <si>
    <t>関東運輸局公示運賃</t>
    <rPh sb="0" eb="2">
      <t>カントウ</t>
    </rPh>
    <rPh sb="5" eb="7">
      <t>コウジ</t>
    </rPh>
    <rPh sb="7" eb="9">
      <t>ウンチン</t>
    </rPh>
    <phoneticPr fontId="2"/>
  </si>
  <si>
    <t>北陸信越運輸局公示運賃</t>
    <rPh sb="0" eb="2">
      <t>ホクリク</t>
    </rPh>
    <rPh sb="2" eb="4">
      <t>シンエツ</t>
    </rPh>
    <rPh sb="7" eb="9">
      <t>コウジ</t>
    </rPh>
    <rPh sb="9" eb="11">
      <t>ウンチン</t>
    </rPh>
    <phoneticPr fontId="2"/>
  </si>
  <si>
    <t>近畿運輸局公示運賃</t>
    <rPh sb="0" eb="2">
      <t>キンキ</t>
    </rPh>
    <rPh sb="5" eb="7">
      <t>コウジ</t>
    </rPh>
    <rPh sb="7" eb="9">
      <t>ウンチン</t>
    </rPh>
    <phoneticPr fontId="2"/>
  </si>
  <si>
    <t>中部運輸局公示運賃</t>
    <rPh sb="0" eb="2">
      <t>チュウブ</t>
    </rPh>
    <rPh sb="2" eb="4">
      <t>ウンユ</t>
    </rPh>
    <rPh sb="5" eb="7">
      <t>コウジ</t>
    </rPh>
    <rPh sb="7" eb="9">
      <t>ウンチン</t>
    </rPh>
    <phoneticPr fontId="2"/>
  </si>
  <si>
    <t>四国運輸局公示運賃</t>
    <rPh sb="0" eb="2">
      <t>シコク</t>
    </rPh>
    <rPh sb="2" eb="4">
      <t>ウンユ</t>
    </rPh>
    <rPh sb="5" eb="7">
      <t>コウジ</t>
    </rPh>
    <rPh sb="7" eb="9">
      <t>ウンチン</t>
    </rPh>
    <phoneticPr fontId="2"/>
  </si>
  <si>
    <t>九州運輸局公示運賃</t>
    <rPh sb="0" eb="2">
      <t>キュウシュウ</t>
    </rPh>
    <rPh sb="2" eb="4">
      <t>ウンユ</t>
    </rPh>
    <rPh sb="5" eb="7">
      <t>コウジ</t>
    </rPh>
    <rPh sb="7" eb="9">
      <t>ウンチン</t>
    </rPh>
    <phoneticPr fontId="2"/>
  </si>
  <si>
    <t>北海道</t>
    <rPh sb="0" eb="3">
      <t>ホッカイドウ</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</si>
  <si>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</si>
  <si>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</si>
  <si>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</si>
  <si>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</si>
  <si>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</si>
  <si>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四国</t>
    <rPh sb="0" eb="2">
      <t>シコク</t>
    </rPh>
    <phoneticPr fontId="2"/>
  </si>
  <si>
    <t>九州</t>
    <rPh sb="0" eb="2">
      <t>キュウシュウ</t>
    </rPh>
    <phoneticPr fontId="2"/>
  </si>
  <si>
    <t>沖縄</t>
    <rPh sb="0" eb="2">
      <t>オキナワ</t>
    </rPh>
    <phoneticPr fontId="2"/>
  </si>
  <si>
    <t>中国</t>
    <rPh sb="0" eb="1">
      <t>チュウ</t>
    </rPh>
    <rPh sb="1" eb="2">
      <t>クニ</t>
    </rPh>
    <phoneticPr fontId="2"/>
  </si>
  <si>
    <t>運輸局を選択→</t>
    <rPh sb="0" eb="2">
      <t>ウンユ</t>
    </rPh>
    <rPh sb="2" eb="3">
      <t>キョク</t>
    </rPh>
    <rPh sb="4" eb="6">
      <t>センタク</t>
    </rPh>
    <phoneticPr fontId="2"/>
  </si>
  <si>
    <t>北海道K</t>
    <rPh sb="0" eb="3">
      <t>ホッカイドウ</t>
    </rPh>
    <phoneticPr fontId="2"/>
  </si>
  <si>
    <t>東北K</t>
    <rPh sb="0" eb="2">
      <t>トウホク</t>
    </rPh>
    <phoneticPr fontId="2"/>
  </si>
  <si>
    <t>関東K</t>
    <rPh sb="0" eb="2">
      <t>カントウ</t>
    </rPh>
    <phoneticPr fontId="2"/>
  </si>
  <si>
    <t>北陸K</t>
    <rPh sb="0" eb="2">
      <t>ホクリク</t>
    </rPh>
    <phoneticPr fontId="2"/>
  </si>
  <si>
    <t>中部K</t>
    <rPh sb="0" eb="2">
      <t>チュウブ</t>
    </rPh>
    <phoneticPr fontId="2"/>
  </si>
  <si>
    <t>中国K</t>
    <rPh sb="0" eb="1">
      <t>チュウ</t>
    </rPh>
    <rPh sb="1" eb="2">
      <t>クニ</t>
    </rPh>
    <phoneticPr fontId="2"/>
  </si>
  <si>
    <t>近畿K</t>
    <rPh sb="0" eb="2">
      <t>キンキ</t>
    </rPh>
    <phoneticPr fontId="2"/>
  </si>
  <si>
    <t>四国K</t>
    <rPh sb="0" eb="2">
      <t>シコク</t>
    </rPh>
    <phoneticPr fontId="2"/>
  </si>
  <si>
    <t>九州K</t>
    <rPh sb="0" eb="2">
      <t>キュウシュウ</t>
    </rPh>
    <phoneticPr fontId="2"/>
  </si>
  <si>
    <t>沖縄K</t>
    <rPh sb="0" eb="2">
      <t>オキナワ</t>
    </rPh>
    <phoneticPr fontId="2"/>
  </si>
  <si>
    <t>中国公示運賃</t>
    <rPh sb="0" eb="2">
      <t>チュウゴク</t>
    </rPh>
    <rPh sb="2" eb="4">
      <t>コウジ</t>
    </rPh>
    <rPh sb="4" eb="6">
      <t>ウンチン</t>
    </rPh>
    <phoneticPr fontId="2"/>
  </si>
  <si>
    <t>（１時間あたりの単価）</t>
    <phoneticPr fontId="2"/>
  </si>
  <si>
    <t>（１㎞あたりの単価）</t>
    <phoneticPr fontId="2"/>
  </si>
  <si>
    <t>←車種区分を選択してください</t>
    <rPh sb="1" eb="3">
      <t>シャシュ</t>
    </rPh>
    <rPh sb="3" eb="5">
      <t>クブン</t>
    </rPh>
    <rPh sb="6" eb="8">
      <t>センタク</t>
    </rPh>
    <phoneticPr fontId="2"/>
  </si>
  <si>
    <t>←運輸局を選択してください</t>
    <rPh sb="1" eb="3">
      <t>ウンユ</t>
    </rPh>
    <rPh sb="3" eb="4">
      <t>キョク</t>
    </rPh>
    <rPh sb="5" eb="7">
      <t>センタク</t>
    </rPh>
    <phoneticPr fontId="2"/>
  </si>
  <si>
    <t>貸切バスの運賃・料金簡易計算シミュレーター</t>
    <rPh sb="0" eb="2">
      <t>カシキリ</t>
    </rPh>
    <rPh sb="5" eb="7">
      <t>ウンチン</t>
    </rPh>
    <rPh sb="8" eb="10">
      <t>リョウキン</t>
    </rPh>
    <rPh sb="10" eb="12">
      <t>カンイ</t>
    </rPh>
    <rPh sb="12" eb="14">
      <t>ケイサン</t>
    </rPh>
    <phoneticPr fontId="2"/>
  </si>
  <si>
    <t>走行時間を入力してください→</t>
    <rPh sb="0" eb="2">
      <t>ソウコウ</t>
    </rPh>
    <rPh sb="2" eb="4">
      <t>ジカン</t>
    </rPh>
    <rPh sb="5" eb="7">
      <t>ニュウリョク</t>
    </rPh>
    <phoneticPr fontId="2"/>
  </si>
  <si>
    <t>①または①´</t>
    <phoneticPr fontId="2"/>
  </si>
  <si>
    <t>⑤</t>
    <phoneticPr fontId="2"/>
  </si>
  <si>
    <t>⑦</t>
    <phoneticPr fontId="2"/>
  </si>
  <si>
    <t>＋</t>
    <phoneticPr fontId="2"/>
  </si>
  <si>
    <t>北海道交</t>
    <rPh sb="0" eb="3">
      <t>ホッカイドウ</t>
    </rPh>
    <phoneticPr fontId="2"/>
  </si>
  <si>
    <t>東北交</t>
    <rPh sb="0" eb="2">
      <t>トウホク</t>
    </rPh>
    <phoneticPr fontId="2"/>
  </si>
  <si>
    <t>関東交</t>
    <rPh sb="0" eb="2">
      <t>カントウ</t>
    </rPh>
    <phoneticPr fontId="2"/>
  </si>
  <si>
    <t>北陸交</t>
    <rPh sb="0" eb="2">
      <t>ホクリク</t>
    </rPh>
    <phoneticPr fontId="2"/>
  </si>
  <si>
    <t>中部交</t>
    <rPh sb="0" eb="2">
      <t>チュウブ</t>
    </rPh>
    <phoneticPr fontId="2"/>
  </si>
  <si>
    <t>中国交</t>
    <rPh sb="0" eb="1">
      <t>チュウ</t>
    </rPh>
    <rPh sb="1" eb="2">
      <t>クニ</t>
    </rPh>
    <phoneticPr fontId="2"/>
  </si>
  <si>
    <t>近畿交</t>
    <rPh sb="0" eb="2">
      <t>キンキ</t>
    </rPh>
    <phoneticPr fontId="2"/>
  </si>
  <si>
    <t>四国交</t>
    <rPh sb="0" eb="2">
      <t>シコク</t>
    </rPh>
    <phoneticPr fontId="2"/>
  </si>
  <si>
    <t>沖縄交</t>
    <rPh sb="0" eb="2">
      <t>オキナワ</t>
    </rPh>
    <phoneticPr fontId="2"/>
  </si>
  <si>
    <t>九州交</t>
    <rPh sb="0" eb="2">
      <t>キュウシュウ</t>
    </rPh>
    <phoneticPr fontId="2"/>
  </si>
  <si>
    <t>下限額</t>
    <rPh sb="0" eb="2">
      <t>カゲン</t>
    </rPh>
    <rPh sb="2" eb="3">
      <t>ガク</t>
    </rPh>
    <phoneticPr fontId="2"/>
  </si>
  <si>
    <t>③</t>
    <phoneticPr fontId="2"/>
  </si>
  <si>
    <t>※特殊車両料金を適用するときは、□をクリックしてください</t>
    <rPh sb="1" eb="3">
      <t>トクシュ</t>
    </rPh>
    <rPh sb="3" eb="5">
      <t>シャリョウ</t>
    </rPh>
    <rPh sb="5" eb="7">
      <t>リョウキン</t>
    </rPh>
    <rPh sb="8" eb="10">
      <t>テキヨウ</t>
    </rPh>
    <phoneticPr fontId="2"/>
  </si>
  <si>
    <t>※交替運転者配置料金を適用するときは、□をクリックしてください</t>
    <rPh sb="1" eb="3">
      <t>コウタイ</t>
    </rPh>
    <rPh sb="3" eb="6">
      <t>ウンテンシャ</t>
    </rPh>
    <rPh sb="6" eb="8">
      <t>ハイチ</t>
    </rPh>
    <rPh sb="8" eb="10">
      <t>リョウキン</t>
    </rPh>
    <rPh sb="11" eb="13">
      <t>テキヨウ</t>
    </rPh>
    <phoneticPr fontId="2"/>
  </si>
  <si>
    <t>に入力してください</t>
    <rPh sb="1" eb="3">
      <t>ニュウリョク</t>
    </rPh>
    <phoneticPr fontId="2"/>
  </si>
  <si>
    <t>４日目：</t>
    <rPh sb="1" eb="3">
      <t>ヒメ</t>
    </rPh>
    <phoneticPr fontId="2"/>
  </si>
  <si>
    <t>５日目：</t>
    <rPh sb="1" eb="3">
      <t>ヒメ</t>
    </rPh>
    <phoneticPr fontId="2"/>
  </si>
  <si>
    <t>６日目：</t>
    <rPh sb="1" eb="3">
      <t>ヒメ</t>
    </rPh>
    <phoneticPr fontId="2"/>
  </si>
  <si>
    <t>７日目：</t>
    <rPh sb="1" eb="3">
      <t>ヒメ</t>
    </rPh>
    <phoneticPr fontId="2"/>
  </si>
  <si>
    <t>８日目：</t>
    <rPh sb="1" eb="3">
      <t>ヒメ</t>
    </rPh>
    <phoneticPr fontId="2"/>
  </si>
  <si>
    <t>９日目：</t>
    <rPh sb="1" eb="3">
      <t>ヒメ</t>
    </rPh>
    <phoneticPr fontId="2"/>
  </si>
  <si>
    <t>10日目：</t>
    <rPh sb="2" eb="4">
      <t>ヒメ</t>
    </rPh>
    <phoneticPr fontId="2"/>
  </si>
  <si>
    <t>１０日目：</t>
    <rPh sb="2" eb="4">
      <t>ヒメ</t>
    </rPh>
    <phoneticPr fontId="2"/>
  </si>
  <si>
    <t>基準額</t>
    <rPh sb="0" eb="2">
      <t>キジュン</t>
    </rPh>
    <rPh sb="2" eb="3">
      <t>ガク</t>
    </rPh>
    <phoneticPr fontId="2"/>
  </si>
  <si>
    <t>割増率</t>
  </si>
  <si>
    <t>※任意の割増率を記入してください</t>
    <rPh sb="1" eb="3">
      <t>ニンイ</t>
    </rPh>
    <rPh sb="4" eb="7">
      <t>ワリマシリツ</t>
    </rPh>
    <rPh sb="8" eb="10">
      <t>キニュウ</t>
    </rPh>
    <phoneticPr fontId="2"/>
  </si>
  <si>
    <t>基準額</t>
    <rPh sb="0" eb="3">
      <t>キジュンガク</t>
    </rPh>
    <phoneticPr fontId="2"/>
  </si>
  <si>
    <t>時間制運賃及び交替運転者配置料金（時間制料金）の２割増</t>
    <rPh sb="0" eb="3">
      <t>ジカンセイ</t>
    </rPh>
    <rPh sb="3" eb="5">
      <t>ウンチン</t>
    </rPh>
    <rPh sb="5" eb="6">
      <t>オヨ</t>
    </rPh>
    <rPh sb="7" eb="9">
      <t>コウタイ</t>
    </rPh>
    <rPh sb="9" eb="12">
      <t>ウンテンシャ</t>
    </rPh>
    <rPh sb="12" eb="14">
      <t>ハイチ</t>
    </rPh>
    <rPh sb="14" eb="16">
      <t>リョウキン</t>
    </rPh>
    <rPh sb="17" eb="20">
      <t>ジカンセイ</t>
    </rPh>
    <rPh sb="20" eb="22">
      <t>リョウキン</t>
    </rPh>
    <rPh sb="25" eb="26">
      <t>ワリ</t>
    </rPh>
    <rPh sb="26" eb="27">
      <t>ゾウ</t>
    </rPh>
    <phoneticPr fontId="2"/>
  </si>
  <si>
    <t>任意の割増</t>
    <rPh sb="0" eb="2">
      <t>ニンイ</t>
    </rPh>
    <rPh sb="3" eb="5">
      <t>ワリマ</t>
    </rPh>
    <phoneticPr fontId="2"/>
  </si>
  <si>
    <t>～</t>
    <phoneticPr fontId="2"/>
  </si>
  <si>
    <t>割  引</t>
    <rPh sb="0" eb="1">
      <t>ワリ</t>
    </rPh>
    <rPh sb="3" eb="4">
      <t>ヒ</t>
    </rPh>
    <phoneticPr fontId="2"/>
  </si>
  <si>
    <t>←該当箇所を選択してください</t>
    <rPh sb="1" eb="3">
      <t>ガイトウ</t>
    </rPh>
    <rPh sb="3" eb="5">
      <t>カショ</t>
    </rPh>
    <rPh sb="6" eb="8">
      <t>センタク</t>
    </rPh>
    <phoneticPr fontId="2"/>
  </si>
  <si>
    <t>上限額①</t>
    <rPh sb="0" eb="3">
      <t>ジョウゲンガク</t>
    </rPh>
    <phoneticPr fontId="2"/>
  </si>
  <si>
    <t>深夜早朝料金</t>
    <rPh sb="0" eb="4">
      <t>シンヤソウチョウ</t>
    </rPh>
    <rPh sb="4" eb="6">
      <t>リョウキン</t>
    </rPh>
    <phoneticPr fontId="2"/>
  </si>
  <si>
    <t>特殊車両料金</t>
    <rPh sb="0" eb="6">
      <t>トクシュシャリョウリョウキン</t>
    </rPh>
    <phoneticPr fontId="2"/>
  </si>
  <si>
    <t>交替運転者配置料金</t>
    <rPh sb="0" eb="9">
      <t>コウタイウンテンシャハイチリョウキン</t>
    </rPh>
    <phoneticPr fontId="2"/>
  </si>
  <si>
    <t>コミューター車</t>
    <phoneticPr fontId="2"/>
  </si>
  <si>
    <t>沖縄総合事務局公示運賃</t>
    <rPh sb="0" eb="2">
      <t>オキナワ</t>
    </rPh>
    <rPh sb="2" eb="4">
      <t>ソウゴウ</t>
    </rPh>
    <rPh sb="4" eb="6">
      <t>ジム</t>
    </rPh>
    <rPh sb="7" eb="9">
      <t>コウジ</t>
    </rPh>
    <rPh sb="9" eb="11">
      <t>ウンチン</t>
    </rPh>
    <phoneticPr fontId="2"/>
  </si>
  <si>
    <t>小型車②</t>
    <phoneticPr fontId="2"/>
  </si>
  <si>
    <t>小型車①</t>
    <phoneticPr fontId="2"/>
  </si>
  <si>
    <t>※小型②：車種区分見直し後の運賃（R6.4.1～）【コミューター運賃を使う場合】</t>
    <rPh sb="1" eb="3">
      <t>コガタ</t>
    </rPh>
    <rPh sb="32" eb="34">
      <t>ウンチン</t>
    </rPh>
    <rPh sb="35" eb="36">
      <t>ツカ</t>
    </rPh>
    <rPh sb="37" eb="39">
      <t>バアイ</t>
    </rPh>
    <phoneticPr fontId="2"/>
  </si>
  <si>
    <t>※小型①：令和５年８月に実施の公示運賃（公示方法等見直し後）【コミューター運賃を使わずに従来の車種区分を使う場合】</t>
    <rPh sb="1" eb="3">
      <t>コガタ</t>
    </rPh>
    <rPh sb="37" eb="39">
      <t>ウンチン</t>
    </rPh>
    <rPh sb="40" eb="41">
      <t>ツカ</t>
    </rPh>
    <rPh sb="44" eb="46">
      <t>ジュウライ</t>
    </rPh>
    <rPh sb="47" eb="49">
      <t>シャシュ</t>
    </rPh>
    <rPh sb="49" eb="51">
      <t>クブン</t>
    </rPh>
    <rPh sb="52" eb="53">
      <t>ツカ</t>
    </rPh>
    <rPh sb="54" eb="56">
      <t>バアイ</t>
    </rPh>
    <phoneticPr fontId="2"/>
  </si>
  <si>
    <t>　※小型②：車種区分見直し後の運賃（R6.4.1～）【コミューター運賃を使う場合】</t>
    <rPh sb="2" eb="4">
      <t>コガタ</t>
    </rPh>
    <rPh sb="33" eb="35">
      <t>ウンチン</t>
    </rPh>
    <rPh sb="36" eb="37">
      <t>ツカ</t>
    </rPh>
    <rPh sb="38" eb="4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</si>
</sst>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円&quot;"/>
    <numFmt numFmtId="177" formatCode="#,##0.0;[Red]\-#,##0.0"/>
    <numFmt numFmtId="178" formatCode="###&quot;時&quot;&quot;間&quot;"/>
    <numFmt numFmtId="179" formatCode="#,###&quot;㎞&quot;"/>
    <numFmt numFmtId="180" formatCode="#,##0&quot;円&quot;"/>
    <numFmt numFmtId="181" formatCode="h:mm;@"/>
    <numFmt numFmtId="182" formatCode="#,##0_);\(#,##0\)"/>
    <numFmt numFmtId="183" formatCode="00"/>
    <numFmt numFmtId="184" formatCode="##0&quot;時&quot;&quot;間&quot;"/>
    <numFmt numFmtId="185" formatCode="00&quot;分&quot;"/>
    <numFmt numFmtId="186" formatCode="0_);[Red]\(0\)"/>
    <numFmt numFmtId="187" formatCode="#0&quot;分&quot;"/>
    <numFmt numFmtId="188" formatCode="#,##0_);[Red]\(#,##0\)"/>
    <numFmt numFmtId="189" formatCode="#,##0_ ;[Red]\-#,##0\ "/>
    <numFmt numFmtId="190" formatCode="[h]:mm"/>
  </numFmts>
  <fonts count="4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11"/>
      <color rgb="FF0070C0"/>
      <name val="ＭＳ Ｐゴシック"/>
      <family val="3"/>
      <charset val="128"/>
      <scheme val="minor"/>
    </font>
    <font>
      <b/>
      <sz val="16"/>
      <color rgb="FF002060"/>
      <name val="ＭＳ Ｐゴシック"/>
      <family val="3"/>
      <charset val="128"/>
      <scheme val="minor"/>
    </font>
    <font>
      <b/>
      <sz val="11"/>
      <color rgb="FF00206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b/>
      <sz val="24"/>
      <color theme="1"/>
      <name val="ＭＳ Ｐゴシック"/>
      <family val="3"/>
      <charset val="128"/>
      <scheme val="minor"/>
    </font>
    <font>
      <sz val="10"/>
      <color rgb="FF002060"/>
      <name val="ＭＳ Ｐゴシック"/>
      <family val="3"/>
      <charset val="128"/>
      <scheme val="minor"/>
    </font>
    <font>
      <sz val="8"/>
      <color rgb="FFFF0000"/>
      <name val="ＭＳ Ｐゴシック"/>
      <family val="3"/>
      <charset val="128"/>
      <scheme val="minor"/>
    </font>
    <font>
      <b/>
      <sz val="22"/>
      <color rgb="FF000000"/>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1"/>
      <color rgb="FF002060"/>
      <name val="ＭＳ Ｐゴシック"/>
      <family val="3"/>
      <charset val="128"/>
      <scheme val="minor"/>
    </font>
    <font>
      <sz val="11"/>
      <color rgb="FFFF0000"/>
      <name val="ＭＳ Ｐゴシック"/>
      <family val="2"/>
      <charset val="128"/>
      <scheme val="minor"/>
    </font>
    <font>
      <b/>
      <sz val="11"/>
      <color theme="0"/>
      <name val="ＭＳ Ｐゴシック"/>
      <family val="3"/>
      <charset val="128"/>
      <scheme val="minor"/>
    </font>
    <font>
      <b/>
      <sz val="14"/>
      <color rgb="FF002060"/>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9"/>
      <color rgb="FF002060"/>
      <name val="ＭＳ Ｐゴシック"/>
      <family val="3"/>
      <charset val="128"/>
      <scheme val="minor"/>
    </font>
    <font>
      <sz val="9"/>
      <color rgb="FFFF0000"/>
      <name val="ＭＳ Ｐゴシック"/>
      <family val="3"/>
      <charset val="128"/>
      <scheme val="minor"/>
    </font>
    <font>
      <b/>
      <sz val="16"/>
      <color rgb="FFFF0000"/>
      <name val="ＭＳ Ｐゴシック"/>
      <family val="3"/>
      <charset val="128"/>
      <scheme val="minor"/>
    </font>
    <font>
      <sz val="11"/>
      <color rgb="FFFF0000"/>
      <name val="ＭＳ Ｐゴシック"/>
      <family val="3"/>
      <charset val="128"/>
      <scheme val="minor"/>
    </font>
    <font>
      <sz val="9"/>
      <color rgb="FF000000"/>
      <name val="MS UI Gothic"/>
      <family val="3"/>
      <charset val="128"/>
    </font>
    <font>
      <b/>
      <sz val="22"/>
      <color theme="0"/>
      <name val="ＭＳ Ｐゴシック"/>
      <family val="3"/>
      <charset val="128"/>
      <scheme val="minor"/>
    </font>
    <font>
      <b/>
      <sz val="12"/>
      <color theme="0"/>
      <name val="ＭＳ Ｐゴシック"/>
      <family val="3"/>
      <charset val="128"/>
      <scheme val="minor"/>
    </font>
    <font>
      <b/>
      <sz val="20"/>
      <color rgb="FFFF0000"/>
      <name val="ＭＳ Ｐゴシック"/>
      <family val="3"/>
      <charset val="128"/>
      <scheme val="minor"/>
    </font>
    <font>
      <b/>
      <sz val="18"/>
      <color rgb="FFFF0000"/>
      <name val="ＭＳ Ｐゴシック"/>
      <family val="3"/>
      <charset val="128"/>
      <scheme val="minor"/>
    </font>
    <font>
      <sz val="10"/>
      <color rgb="FFFF0000"/>
      <name val="ＭＳ Ｐゴシック"/>
      <family val="3"/>
      <charset val="128"/>
      <scheme val="minor"/>
    </font>
    <font>
      <b/>
      <sz val="14"/>
      <color rgb="FFFF0000"/>
      <name val="ＭＳ Ｐゴシック"/>
      <family val="3"/>
      <charset val="128"/>
      <scheme val="minor"/>
    </font>
    <font>
      <sz val="10"/>
      <color theme="0"/>
      <name val="ＭＳ Ｐゴシック"/>
      <family val="3"/>
      <charset val="128"/>
      <scheme val="minor"/>
    </font>
    <font>
      <b/>
      <sz val="16"/>
      <name val="ＭＳ Ｐゴシック"/>
      <family val="3"/>
      <charset val="128"/>
      <scheme val="minor"/>
    </font>
    <font>
      <b/>
      <sz val="22"/>
      <color rgb="FFFF0000"/>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b/>
      <sz val="16"/>
      <color theme="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
      <left/>
      <right/>
      <top style="double">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14">
    <xf numFmtId="0" fontId="0" fillId="0" borderId="0" xfId="0">
      <alignment vertical="center"/>
    </xf>
    <xf numFmtId="38" fontId="4" fillId="0" borderId="0" xfId="1" applyFont="1" applyFill="1" applyBorder="1" applyProtection="1">
      <alignment vertical="center"/>
      <protection hidden="1"/>
    </xf>
    <xf numFmtId="38" fontId="10" fillId="0" borderId="0" xfId="1" applyFont="1" applyFill="1" applyAlignment="1" applyProtection="1">
      <alignment horizontal="center" vertical="center"/>
      <protection hidden="1"/>
    </xf>
    <xf numFmtId="38" fontId="10" fillId="0" borderId="0" xfId="1" applyFont="1" applyFill="1" applyProtection="1">
      <alignment vertical="center"/>
      <protection hidden="1"/>
    </xf>
    <xf numFmtId="38" fontId="4" fillId="0" borderId="4" xfId="1" applyFont="1" applyFill="1" applyBorder="1" applyProtection="1">
      <alignment vertical="center"/>
      <protection hidden="1"/>
    </xf>
    <xf numFmtId="38" fontId="4" fillId="0" borderId="0" xfId="1" applyFont="1" applyFill="1" applyProtection="1">
      <alignment vertical="center"/>
      <protection hidden="1"/>
    </xf>
    <xf numFmtId="38" fontId="5" fillId="0" borderId="0" xfId="1" applyFont="1" applyFill="1" applyBorder="1" applyAlignment="1" applyProtection="1">
      <alignment vertical="center"/>
      <protection hidden="1"/>
    </xf>
    <xf numFmtId="38" fontId="7" fillId="0" borderId="0" xfId="1" applyFont="1" applyFill="1" applyAlignment="1" applyProtection="1">
      <alignment vertical="center"/>
      <protection hidden="1"/>
    </xf>
    <xf numFmtId="38" fontId="3" fillId="0" borderId="0" xfId="1" applyFont="1" applyFill="1" applyProtection="1">
      <alignment vertical="center"/>
      <protection hidden="1"/>
    </xf>
    <xf numFmtId="38" fontId="23" fillId="0" borderId="0" xfId="1" applyFont="1" applyFill="1" applyProtection="1">
      <alignment vertical="center"/>
      <protection hidden="1"/>
    </xf>
    <xf numFmtId="38" fontId="25" fillId="0" borderId="0" xfId="1" applyFont="1" applyFill="1" applyAlignment="1" applyProtection="1">
      <alignment vertical="top"/>
      <protection hidden="1"/>
    </xf>
    <xf numFmtId="38" fontId="5" fillId="0" borderId="0" xfId="1" applyFont="1" applyFill="1" applyBorder="1" applyProtection="1">
      <alignment vertical="center"/>
      <protection hidden="1"/>
    </xf>
    <xf numFmtId="38" fontId="14" fillId="0" borderId="0" xfId="1" applyFont="1" applyFill="1" applyProtection="1">
      <alignment vertical="center"/>
      <protection hidden="1"/>
    </xf>
    <xf numFmtId="38" fontId="4" fillId="0" borderId="0" xfId="1" applyFont="1" applyFill="1" applyBorder="1" applyAlignment="1" applyProtection="1">
      <alignment vertical="center"/>
      <protection hidden="1"/>
    </xf>
    <xf numFmtId="38" fontId="29" fillId="0" borderId="0" xfId="1" applyFont="1" applyFill="1" applyBorder="1" applyProtection="1">
      <alignment vertical="center"/>
      <protection hidden="1"/>
    </xf>
    <xf numFmtId="177" fontId="4" fillId="0" borderId="0" xfId="1" applyNumberFormat="1" applyFont="1" applyFill="1" applyProtection="1">
      <alignment vertical="center"/>
      <protection hidden="1"/>
    </xf>
    <xf numFmtId="38" fontId="7" fillId="0" borderId="0" xfId="1" applyFont="1" applyFill="1" applyProtection="1">
      <alignment vertical="center"/>
      <protection hidden="1"/>
    </xf>
    <xf numFmtId="38" fontId="16" fillId="0" borderId="0" xfId="1" applyFont="1" applyFill="1" applyAlignment="1" applyProtection="1">
      <alignment vertical="center"/>
      <protection hidden="1"/>
    </xf>
    <xf numFmtId="38" fontId="13" fillId="0" borderId="0" xfId="1" applyFont="1" applyFill="1" applyAlignment="1" applyProtection="1">
      <alignment vertical="top"/>
      <protection hidden="1"/>
    </xf>
    <xf numFmtId="38" fontId="30" fillId="0" borderId="0" xfId="1" applyFont="1" applyFill="1" applyProtection="1">
      <alignment vertical="center"/>
      <protection hidden="1"/>
    </xf>
    <xf numFmtId="38" fontId="3" fillId="0" borderId="0" xfId="1" applyFont="1" applyFill="1" applyBorder="1" applyProtection="1">
      <alignment vertical="center"/>
      <protection hidden="1"/>
    </xf>
    <xf numFmtId="38" fontId="3" fillId="0" borderId="0" xfId="1" applyFont="1" applyFill="1" applyAlignment="1" applyProtection="1">
      <alignment horizontal="right" vertical="center"/>
      <protection hidden="1"/>
    </xf>
    <xf numFmtId="38" fontId="36" fillId="0" borderId="0" xfId="1" applyFont="1" applyFill="1" applyAlignment="1" applyProtection="1">
      <alignment vertical="center"/>
      <protection hidden="1"/>
    </xf>
    <xf numFmtId="0" fontId="0" fillId="0" borderId="0" xfId="0" applyAlignment="1">
      <alignment horizontal="left" vertical="center" wrapText="1"/>
    </xf>
    <xf numFmtId="38" fontId="4" fillId="0" borderId="0" xfId="1" applyFont="1" applyFill="1" applyProtection="1">
      <alignment vertical="center"/>
      <protection locked="0" hidden="1"/>
    </xf>
    <xf numFmtId="38" fontId="18" fillId="0" borderId="0" xfId="1" applyFont="1" applyFill="1" applyAlignment="1" applyProtection="1">
      <alignment vertical="center"/>
      <protection hidden="1"/>
    </xf>
    <xf numFmtId="38" fontId="18" fillId="0" borderId="1" xfId="1" applyFont="1" applyFill="1" applyBorder="1" applyAlignment="1" applyProtection="1">
      <alignment vertical="center"/>
      <protection hidden="1"/>
    </xf>
    <xf numFmtId="38" fontId="18" fillId="0" borderId="2" xfId="1" applyFont="1" applyFill="1" applyBorder="1" applyAlignment="1" applyProtection="1">
      <alignment vertical="center"/>
      <protection hidden="1"/>
    </xf>
    <xf numFmtId="38" fontId="18" fillId="0" borderId="3" xfId="1" applyFont="1" applyFill="1" applyBorder="1" applyAlignment="1" applyProtection="1">
      <alignment vertical="center"/>
      <protection hidden="1"/>
    </xf>
    <xf numFmtId="38" fontId="26" fillId="0" borderId="0" xfId="1" applyFont="1" applyFill="1" applyAlignment="1" applyProtection="1">
      <alignment vertical="center"/>
      <protection hidden="1"/>
    </xf>
    <xf numFmtId="38" fontId="18" fillId="0" borderId="0" xfId="1" applyFont="1" applyFill="1" applyBorder="1" applyAlignment="1" applyProtection="1">
      <alignment vertical="center"/>
      <protection hidden="1"/>
    </xf>
    <xf numFmtId="38" fontId="3" fillId="0" borderId="0" xfId="1" applyFont="1" applyFill="1" applyProtection="1">
      <alignment vertical="center"/>
      <protection locked="0" hidden="1"/>
    </xf>
    <xf numFmtId="38" fontId="19" fillId="0" borderId="0" xfId="1" applyFont="1" applyFill="1" applyProtection="1">
      <alignment vertical="center"/>
      <protection hidden="1"/>
    </xf>
    <xf numFmtId="38" fontId="6" fillId="0" borderId="0" xfId="1" applyFont="1" applyFill="1" applyProtection="1">
      <alignment vertical="center"/>
      <protection hidden="1"/>
    </xf>
    <xf numFmtId="38" fontId="3" fillId="0" borderId="0" xfId="1" applyFont="1" applyFill="1" applyAlignment="1" applyProtection="1">
      <alignment vertical="center"/>
      <protection hidden="1"/>
    </xf>
    <xf numFmtId="38" fontId="20" fillId="0" borderId="0" xfId="1" applyFont="1" applyFill="1" applyAlignment="1" applyProtection="1">
      <alignment vertical="top"/>
      <protection hidden="1"/>
    </xf>
    <xf numFmtId="38" fontId="24" fillId="0" borderId="0" xfId="1" applyFont="1" applyFill="1" applyAlignment="1" applyProtection="1">
      <alignment horizontal="center" vertical="center"/>
      <protection hidden="1"/>
    </xf>
    <xf numFmtId="38" fontId="7" fillId="0" borderId="0" xfId="1" applyFont="1" applyFill="1" applyAlignment="1" applyProtection="1">
      <alignment horizontal="left" vertical="center"/>
      <protection hidden="1"/>
    </xf>
    <xf numFmtId="38" fontId="4" fillId="0" borderId="0" xfId="1" applyFont="1" applyFill="1" applyAlignment="1" applyProtection="1">
      <alignment vertical="center"/>
      <protection hidden="1"/>
    </xf>
    <xf numFmtId="38" fontId="21" fillId="0" borderId="0" xfId="1" applyFont="1" applyFill="1" applyBorder="1" applyAlignment="1" applyProtection="1">
      <alignment horizontal="right" vertical="center"/>
      <protection hidden="1"/>
    </xf>
    <xf numFmtId="38" fontId="21" fillId="0" borderId="0" xfId="1" applyFont="1" applyFill="1" applyProtection="1">
      <alignment vertical="center"/>
      <protection hidden="1"/>
    </xf>
    <xf numFmtId="38" fontId="19" fillId="0" borderId="0" xfId="1" applyFont="1" applyFill="1" applyBorder="1" applyAlignment="1" applyProtection="1">
      <alignment horizontal="center" vertical="center"/>
      <protection hidden="1"/>
    </xf>
    <xf numFmtId="38" fontId="19" fillId="0" borderId="0" xfId="1" applyFont="1" applyFill="1" applyBorder="1" applyProtection="1">
      <alignment vertical="center"/>
      <protection hidden="1"/>
    </xf>
    <xf numFmtId="0" fontId="3" fillId="0" borderId="0" xfId="0" applyFont="1" applyAlignment="1" applyProtection="1">
      <alignment horizontal="center" vertical="center"/>
      <protection hidden="1"/>
    </xf>
    <xf numFmtId="0" fontId="7" fillId="0" borderId="0" xfId="0" applyFont="1" applyAlignment="1" applyProtection="1">
      <alignment horizontal="center"/>
      <protection hidden="1"/>
    </xf>
    <xf numFmtId="38" fontId="7" fillId="0" borderId="0" xfId="1" applyFont="1" applyFill="1" applyAlignment="1" applyProtection="1">
      <protection hidden="1"/>
    </xf>
    <xf numFmtId="38" fontId="10" fillId="0" borderId="0" xfId="1" applyFont="1" applyFill="1" applyBorder="1" applyAlignment="1" applyProtection="1">
      <alignment vertical="center"/>
      <protection hidden="1"/>
    </xf>
    <xf numFmtId="0" fontId="21" fillId="0" borderId="0" xfId="0" applyFont="1" applyProtection="1">
      <alignment vertical="center"/>
      <protection hidden="1"/>
    </xf>
    <xf numFmtId="0" fontId="30" fillId="0" borderId="0" xfId="0" applyFont="1" applyProtection="1">
      <alignment vertical="center"/>
      <protection hidden="1"/>
    </xf>
    <xf numFmtId="38" fontId="8" fillId="0" borderId="0" xfId="1" applyFont="1" applyFill="1" applyProtection="1">
      <alignment vertical="center"/>
      <protection hidden="1"/>
    </xf>
    <xf numFmtId="176" fontId="4" fillId="0" borderId="0" xfId="1" applyNumberFormat="1" applyFont="1" applyFill="1" applyAlignment="1" applyProtection="1">
      <alignment vertical="center"/>
      <protection hidden="1"/>
    </xf>
    <xf numFmtId="38" fontId="20" fillId="0" borderId="0" xfId="1" applyFont="1" applyFill="1" applyProtection="1">
      <alignment vertical="center"/>
      <protection hidden="1"/>
    </xf>
    <xf numFmtId="38" fontId="3" fillId="0" borderId="0" xfId="1" applyFont="1" applyFill="1" applyBorder="1" applyAlignment="1" applyProtection="1">
      <alignment horizontal="right" vertical="center"/>
      <protection hidden="1"/>
    </xf>
    <xf numFmtId="176" fontId="4" fillId="0" borderId="0" xfId="1" applyNumberFormat="1" applyFont="1" applyFill="1" applyBorder="1" applyAlignment="1" applyProtection="1">
      <alignment vertical="center"/>
      <protection hidden="1"/>
    </xf>
    <xf numFmtId="176" fontId="4"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left" vertical="center"/>
      <protection hidden="1"/>
    </xf>
    <xf numFmtId="180" fontId="4" fillId="0" borderId="0" xfId="1" applyNumberFormat="1" applyFont="1" applyFill="1" applyBorder="1" applyAlignment="1" applyProtection="1">
      <alignment vertical="center"/>
      <protection hidden="1"/>
    </xf>
    <xf numFmtId="176" fontId="3" fillId="0" borderId="0" xfId="1" applyNumberFormat="1" applyFont="1" applyFill="1" applyBorder="1" applyAlignment="1" applyProtection="1">
      <alignment vertical="center"/>
      <protection hidden="1"/>
    </xf>
    <xf numFmtId="38" fontId="3" fillId="0" borderId="0" xfId="1" applyFont="1" applyFill="1" applyAlignment="1" applyProtection="1">
      <alignment vertical="top"/>
      <protection hidden="1"/>
    </xf>
    <xf numFmtId="38" fontId="3" fillId="0" borderId="0" xfId="1" applyFont="1" applyFill="1" applyAlignment="1" applyProtection="1">
      <protection hidden="1"/>
    </xf>
    <xf numFmtId="38" fontId="21" fillId="0" borderId="0" xfId="1" applyFont="1" applyFill="1" applyAlignment="1" applyProtection="1">
      <alignment vertical="center"/>
      <protection hidden="1"/>
    </xf>
    <xf numFmtId="38" fontId="4" fillId="0" borderId="6" xfId="1" applyFont="1" applyFill="1" applyBorder="1" applyProtection="1">
      <alignment vertical="center"/>
      <protection hidden="1"/>
    </xf>
    <xf numFmtId="38" fontId="3" fillId="0" borderId="4" xfId="1" applyFont="1" applyFill="1" applyBorder="1" applyProtection="1">
      <alignment vertical="center"/>
      <protection hidden="1"/>
    </xf>
    <xf numFmtId="38" fontId="4" fillId="0" borderId="4" xfId="1" applyFont="1" applyFill="1" applyBorder="1" applyAlignment="1" applyProtection="1">
      <alignment horizontal="left" vertical="center"/>
      <protection hidden="1"/>
    </xf>
    <xf numFmtId="176" fontId="4" fillId="0" borderId="4" xfId="1" applyNumberFormat="1" applyFont="1" applyFill="1" applyBorder="1" applyAlignment="1" applyProtection="1">
      <alignment vertical="center"/>
      <protection hidden="1"/>
    </xf>
    <xf numFmtId="176" fontId="20" fillId="0" borderId="4" xfId="1" applyNumberFormat="1" applyFont="1" applyFill="1" applyBorder="1" applyAlignment="1" applyProtection="1">
      <alignment vertical="center"/>
      <protection hidden="1"/>
    </xf>
    <xf numFmtId="180" fontId="35" fillId="0" borderId="0" xfId="1" applyNumberFormat="1" applyFont="1" applyFill="1" applyAlignment="1" applyProtection="1">
      <alignment vertical="center"/>
      <protection hidden="1"/>
    </xf>
    <xf numFmtId="180" fontId="35" fillId="0" borderId="0" xfId="1" applyNumberFormat="1" applyFont="1" applyFill="1" applyAlignment="1" applyProtection="1">
      <alignment vertical="center" wrapText="1"/>
      <protection hidden="1"/>
    </xf>
    <xf numFmtId="180" fontId="34" fillId="0" borderId="0" xfId="1" applyNumberFormat="1" applyFont="1" applyFill="1" applyAlignment="1" applyProtection="1">
      <alignment vertical="center" wrapText="1"/>
      <protection hidden="1"/>
    </xf>
    <xf numFmtId="38" fontId="13" fillId="0" borderId="0" xfId="1" applyFont="1" applyFill="1" applyAlignment="1" applyProtection="1">
      <alignment vertical="top"/>
      <protection locked="0" hidden="1"/>
    </xf>
    <xf numFmtId="38" fontId="12" fillId="0" borderId="0" xfId="1" applyFont="1" applyFill="1" applyProtection="1">
      <alignment vertical="center"/>
      <protection hidden="1"/>
    </xf>
    <xf numFmtId="6" fontId="4" fillId="0" borderId="0" xfId="2" applyFont="1" applyFill="1" applyBorder="1" applyProtection="1">
      <alignment vertical="center"/>
      <protection hidden="1"/>
    </xf>
    <xf numFmtId="38" fontId="9" fillId="0" borderId="0" xfId="1" applyFont="1" applyFill="1" applyBorder="1" applyAlignment="1" applyProtection="1">
      <alignment vertical="center"/>
      <protection hidden="1"/>
    </xf>
    <xf numFmtId="38" fontId="16" fillId="0" borderId="0" xfId="1" applyFont="1" applyFill="1" applyProtection="1">
      <alignment vertical="center"/>
      <protection hidden="1"/>
    </xf>
    <xf numFmtId="38" fontId="23" fillId="0" borderId="0" xfId="1" applyFont="1" applyFill="1" applyBorder="1" applyAlignment="1" applyProtection="1">
      <alignment vertical="center"/>
      <protection hidden="1"/>
    </xf>
    <xf numFmtId="186" fontId="4" fillId="0" borderId="0" xfId="1" applyNumberFormat="1" applyFont="1" applyFill="1" applyAlignment="1" applyProtection="1">
      <alignment horizontal="right" vertical="center"/>
      <protection hidden="1"/>
    </xf>
    <xf numFmtId="181" fontId="4" fillId="0" borderId="0" xfId="1" applyNumberFormat="1" applyFont="1" applyFill="1" applyAlignment="1" applyProtection="1">
      <alignment vertical="center"/>
      <protection hidden="1"/>
    </xf>
    <xf numFmtId="38" fontId="23" fillId="0" borderId="0" xfId="1" applyFont="1" applyFill="1" applyAlignment="1" applyProtection="1">
      <alignment vertical="center"/>
      <protection hidden="1"/>
    </xf>
    <xf numFmtId="186" fontId="4" fillId="0" borderId="0" xfId="1" applyNumberFormat="1" applyFont="1" applyFill="1" applyProtection="1">
      <alignment vertical="center"/>
      <protection hidden="1"/>
    </xf>
    <xf numFmtId="186" fontId="4" fillId="0" borderId="0" xfId="1" applyNumberFormat="1" applyFont="1" applyFill="1" applyAlignment="1" applyProtection="1">
      <alignment horizontal="left" vertical="center"/>
      <protection hidden="1"/>
    </xf>
    <xf numFmtId="0" fontId="17" fillId="0" borderId="0" xfId="0" applyFont="1" applyProtection="1">
      <alignment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horizontal="center"/>
      <protection hidden="1"/>
    </xf>
    <xf numFmtId="0" fontId="16" fillId="0" borderId="0" xfId="0" applyFont="1" applyProtection="1">
      <alignment vertical="center"/>
      <protection hidden="1"/>
    </xf>
    <xf numFmtId="0" fontId="28" fillId="0" borderId="0" xfId="0" applyFont="1" applyProtection="1">
      <alignment vertical="center"/>
      <protection hidden="1"/>
    </xf>
    <xf numFmtId="38" fontId="11" fillId="0" borderId="0" xfId="1" applyFont="1" applyFill="1" applyProtection="1">
      <alignment vertical="center"/>
      <protection hidden="1"/>
    </xf>
    <xf numFmtId="38" fontId="5" fillId="0" borderId="0" xfId="1" applyFont="1" applyFill="1" applyProtection="1">
      <alignment vertical="center"/>
      <protection hidden="1"/>
    </xf>
    <xf numFmtId="176" fontId="5" fillId="0" borderId="0" xfId="1" applyNumberFormat="1" applyFont="1" applyFill="1" applyAlignment="1" applyProtection="1">
      <alignment vertical="center"/>
      <protection hidden="1"/>
    </xf>
    <xf numFmtId="38" fontId="3" fillId="0" borderId="0" xfId="1" applyFont="1" applyFill="1" applyBorder="1" applyProtection="1">
      <alignment vertical="center"/>
      <protection locked="0" hidden="1"/>
    </xf>
    <xf numFmtId="38" fontId="29" fillId="0" borderId="0" xfId="1" applyFont="1" applyFill="1" applyProtection="1">
      <alignment vertical="center"/>
      <protection locked="0" hidden="1"/>
    </xf>
    <xf numFmtId="38" fontId="29" fillId="0" borderId="0" xfId="1" applyFont="1" applyFill="1" applyBorder="1" applyProtection="1">
      <alignment vertical="center"/>
      <protection locked="0" hidden="1"/>
    </xf>
    <xf numFmtId="38" fontId="3" fillId="0" borderId="0" xfId="1" quotePrefix="1" applyFont="1" applyFill="1" applyProtection="1">
      <alignment vertical="center"/>
      <protection locked="0" hidden="1"/>
    </xf>
    <xf numFmtId="38" fontId="32" fillId="0" borderId="0" xfId="1" applyFont="1" applyFill="1" applyAlignment="1" applyProtection="1">
      <alignment horizontal="center" vertical="center"/>
      <protection hidden="1"/>
    </xf>
    <xf numFmtId="38" fontId="33" fillId="0" borderId="0" xfId="1" applyFont="1" applyFill="1" applyAlignment="1" applyProtection="1">
      <alignment horizontal="center" vertical="center"/>
      <protection hidden="1"/>
    </xf>
    <xf numFmtId="38" fontId="33" fillId="0" borderId="0" xfId="1" applyFont="1" applyFill="1" applyAlignment="1" applyProtection="1">
      <alignment horizontal="left" vertical="center"/>
      <protection hidden="1"/>
    </xf>
    <xf numFmtId="38" fontId="13" fillId="0" borderId="0" xfId="1" applyFont="1" applyFill="1" applyAlignment="1" applyProtection="1">
      <alignment vertical="center"/>
      <protection hidden="1"/>
    </xf>
    <xf numFmtId="38" fontId="32" fillId="0" borderId="0" xfId="1" applyFont="1" applyFill="1" applyAlignment="1" applyProtection="1">
      <alignment horizontal="left" vertical="center"/>
      <protection hidden="1"/>
    </xf>
    <xf numFmtId="38" fontId="3" fillId="0" borderId="0" xfId="1" applyFont="1" applyFill="1" applyAlignment="1" applyProtection="1">
      <alignment vertical="center"/>
      <protection locked="0" hidden="1"/>
    </xf>
    <xf numFmtId="186" fontId="3" fillId="0" borderId="0" xfId="1" applyNumberFormat="1" applyFont="1" applyFill="1" applyAlignment="1" applyProtection="1">
      <alignment horizontal="right" vertical="center"/>
      <protection locked="0" hidden="1"/>
    </xf>
    <xf numFmtId="186" fontId="3" fillId="0" borderId="0" xfId="1" applyNumberFormat="1" applyFont="1" applyFill="1" applyAlignment="1" applyProtection="1">
      <alignment horizontal="left" vertical="center"/>
      <protection locked="0" hidden="1"/>
    </xf>
    <xf numFmtId="186" fontId="3" fillId="0" borderId="0" xfId="1" applyNumberFormat="1" applyFont="1" applyFill="1" applyProtection="1">
      <alignment vertical="center"/>
      <protection locked="0" hidden="1"/>
    </xf>
    <xf numFmtId="38" fontId="7" fillId="0" borderId="0" xfId="1" applyFont="1" applyFill="1" applyProtection="1">
      <alignment vertical="center"/>
      <protection locked="0" hidden="1"/>
    </xf>
    <xf numFmtId="38" fontId="37" fillId="0" borderId="0" xfId="1" applyFont="1" applyFill="1" applyAlignment="1" applyProtection="1">
      <alignment vertical="center"/>
      <protection hidden="1"/>
    </xf>
    <xf numFmtId="38" fontId="4" fillId="0" borderId="0" xfId="1" applyFont="1" applyFill="1" applyAlignment="1" applyProtection="1">
      <alignment horizontal="center" vertical="center"/>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38" fontId="4" fillId="0" borderId="0" xfId="1" applyFont="1" applyFill="1" applyAlignment="1" applyProtection="1">
      <alignment horizontal="right" vertical="center"/>
      <protection hidden="1"/>
    </xf>
    <xf numFmtId="38" fontId="23"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38" fontId="18" fillId="0" borderId="0" xfId="1" applyFont="1" applyFill="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6" fontId="3" fillId="0" borderId="0" xfId="1" applyNumberFormat="1" applyFont="1" applyFill="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protection hidden="1"/>
    </xf>
    <xf numFmtId="38" fontId="5" fillId="0" borderId="0" xfId="1" applyFont="1" applyFill="1" applyAlignment="1" applyProtection="1">
      <alignment horizontal="left" vertical="center"/>
      <protection hidden="1"/>
    </xf>
    <xf numFmtId="38" fontId="3" fillId="0" borderId="0" xfId="1" applyFont="1" applyFill="1" applyAlignment="1" applyProtection="1">
      <alignment horizontal="center" vertical="center"/>
      <protection hidden="1"/>
    </xf>
    <xf numFmtId="38" fontId="3" fillId="0" borderId="0" xfId="1" applyFont="1" applyFill="1" applyAlignment="1" applyProtection="1">
      <alignment horizontal="left" vertical="top"/>
      <protection hidden="1"/>
    </xf>
    <xf numFmtId="38" fontId="20" fillId="0" borderId="0" xfId="1" applyFont="1" applyFill="1" applyAlignment="1" applyProtection="1">
      <alignment horizontal="left" vertical="top"/>
      <protection hidden="1"/>
    </xf>
    <xf numFmtId="38" fontId="23" fillId="0" borderId="0" xfId="1" applyFont="1" applyFill="1" applyProtection="1">
      <alignment vertical="center"/>
      <protection locked="0" hidden="1"/>
    </xf>
    <xf numFmtId="38" fontId="23" fillId="0" borderId="0" xfId="1" applyFont="1" applyFill="1" applyBorder="1" applyProtection="1">
      <alignment vertical="center"/>
      <protection locked="0" hidden="1"/>
    </xf>
    <xf numFmtId="38" fontId="38" fillId="0" borderId="0" xfId="1" applyFont="1" applyFill="1" applyAlignment="1" applyProtection="1">
      <alignment vertical="center"/>
      <protection locked="0" hidden="1"/>
    </xf>
    <xf numFmtId="176" fontId="23" fillId="0" borderId="0" xfId="1" applyNumberFormat="1" applyFont="1" applyFill="1" applyAlignment="1" applyProtection="1">
      <alignment horizontal="center" vertical="center"/>
      <protection locked="0" hidden="1"/>
    </xf>
    <xf numFmtId="180" fontId="35" fillId="0" borderId="0" xfId="1" applyNumberFormat="1" applyFont="1" applyFill="1" applyAlignment="1" applyProtection="1">
      <alignment horizontal="left" vertical="center"/>
      <protection hidden="1"/>
    </xf>
    <xf numFmtId="38" fontId="3" fillId="2" borderId="0" xfId="1" applyFont="1" applyFill="1" applyProtection="1">
      <alignment vertical="center"/>
      <protection locked="0" hidden="1"/>
    </xf>
    <xf numFmtId="38" fontId="7" fillId="2" borderId="0" xfId="1" applyFont="1" applyFill="1" applyProtection="1">
      <alignment vertical="center"/>
      <protection locked="0" hidden="1"/>
    </xf>
    <xf numFmtId="176" fontId="39" fillId="0" borderId="0" xfId="1" applyNumberFormat="1" applyFont="1" applyFill="1" applyBorder="1" applyAlignment="1" applyProtection="1">
      <alignment vertical="center"/>
      <protection hidden="1"/>
    </xf>
    <xf numFmtId="38" fontId="7" fillId="0" borderId="0" xfId="1" applyFont="1" applyFill="1" applyAlignment="1" applyProtection="1">
      <alignment horizontal="center" vertical="center"/>
      <protection locked="0" hidden="1"/>
    </xf>
    <xf numFmtId="38" fontId="7" fillId="0" borderId="0" xfId="1" applyFont="1" applyFill="1" applyBorder="1" applyProtection="1">
      <alignment vertical="center"/>
      <protection locked="0" hidden="1"/>
    </xf>
    <xf numFmtId="38" fontId="40" fillId="0" borderId="0" xfId="1" applyFont="1" applyFill="1" applyAlignment="1" applyProtection="1">
      <alignment horizontal="left" vertical="center"/>
      <protection locked="0" hidden="1"/>
    </xf>
    <xf numFmtId="38" fontId="3" fillId="0" borderId="0" xfId="1" applyFont="1" applyFill="1" applyAlignment="1" applyProtection="1">
      <alignment horizontal="center" vertical="center" textRotation="255"/>
      <protection locked="0" hidden="1"/>
    </xf>
    <xf numFmtId="178" fontId="3" fillId="0" borderId="0" xfId="1" applyNumberFormat="1" applyFont="1" applyFill="1" applyAlignment="1" applyProtection="1">
      <alignment vertical="center"/>
      <protection locked="0" hidden="1"/>
    </xf>
    <xf numFmtId="38" fontId="3" fillId="0" borderId="0" xfId="1" applyFont="1" applyFill="1" applyBorder="1" applyAlignment="1" applyProtection="1">
      <alignment vertical="center"/>
      <protection locked="0" hidden="1"/>
    </xf>
    <xf numFmtId="38" fontId="36" fillId="0" borderId="0" xfId="1" applyFont="1" applyFill="1" applyAlignment="1" applyProtection="1">
      <alignment vertical="center"/>
      <protection locked="0" hidden="1"/>
    </xf>
    <xf numFmtId="38" fontId="4" fillId="0" borderId="0" xfId="1" applyFont="1" applyFill="1" applyProtection="1">
      <alignment vertical="center"/>
    </xf>
    <xf numFmtId="38" fontId="4" fillId="0" borderId="0" xfId="1" applyFont="1" applyFill="1" applyAlignment="1" applyProtection="1">
      <alignment horizontal="center" vertical="center"/>
      <protection locked="0" hidden="1"/>
    </xf>
    <xf numFmtId="38" fontId="25" fillId="0" borderId="0" xfId="1" applyFont="1" applyFill="1" applyAlignment="1" applyProtection="1">
      <alignment vertical="top"/>
      <protection locked="0" hidden="1"/>
    </xf>
    <xf numFmtId="38" fontId="5" fillId="0" borderId="0" xfId="1" applyFont="1" applyFill="1" applyBorder="1" applyProtection="1">
      <alignment vertical="center"/>
      <protection locked="0" hidden="1"/>
    </xf>
    <xf numFmtId="38" fontId="4" fillId="0" borderId="0" xfId="1" applyFont="1" applyFill="1" applyBorder="1" applyProtection="1">
      <alignment vertical="center"/>
      <protection locked="0" hidden="1"/>
    </xf>
    <xf numFmtId="177" fontId="4" fillId="0" borderId="0" xfId="1" applyNumberFormat="1" applyFont="1" applyFill="1" applyProtection="1">
      <alignment vertical="center"/>
      <protection locked="0" hidden="1"/>
    </xf>
    <xf numFmtId="38" fontId="4" fillId="0" borderId="0" xfId="1" applyFont="1" applyFill="1" applyAlignment="1" applyProtection="1">
      <alignment horizontal="left" vertical="center"/>
      <protection locked="0" hidden="1"/>
    </xf>
    <xf numFmtId="38" fontId="4" fillId="0" borderId="0" xfId="1" applyFont="1" applyFill="1" applyAlignment="1" applyProtection="1">
      <alignment horizontal="right" vertical="center"/>
      <protection locked="0" hidden="1"/>
    </xf>
    <xf numFmtId="176" fontId="39" fillId="0" borderId="0" xfId="1" applyNumberFormat="1" applyFont="1" applyFill="1" applyBorder="1" applyAlignment="1" applyProtection="1">
      <alignment vertical="center"/>
      <protection locked="0" hidden="1"/>
    </xf>
    <xf numFmtId="38" fontId="39" fillId="0" borderId="0" xfId="1" applyFont="1" applyFill="1" applyBorder="1" applyAlignment="1" applyProtection="1">
      <alignment vertical="center"/>
      <protection locked="0" hidden="1"/>
    </xf>
    <xf numFmtId="180" fontId="4" fillId="0" borderId="0" xfId="1" applyNumberFormat="1" applyFont="1" applyFill="1" applyBorder="1" applyAlignment="1" applyProtection="1">
      <alignment horizontal="center" vertical="center"/>
      <protection hidden="1"/>
    </xf>
    <xf numFmtId="38" fontId="7" fillId="0" borderId="0" xfId="1" applyFont="1" applyFill="1" applyAlignment="1" applyProtection="1">
      <alignment horizontal="center"/>
      <protection hidden="1"/>
    </xf>
    <xf numFmtId="38" fontId="5" fillId="0" borderId="0" xfId="1" applyFont="1" applyFill="1" applyBorder="1" applyAlignment="1" applyProtection="1">
      <alignment horizontal="center" vertical="center"/>
      <protection hidden="1"/>
    </xf>
    <xf numFmtId="38" fontId="3" fillId="0" borderId="0" xfId="1" applyFont="1" applyFill="1" applyBorder="1" applyAlignment="1" applyProtection="1">
      <alignment horizontal="left" vertical="center"/>
      <protection hidden="1"/>
    </xf>
    <xf numFmtId="176" fontId="4" fillId="0" borderId="0" xfId="1" applyNumberFormat="1" applyFont="1" applyFill="1" applyAlignment="1" applyProtection="1">
      <alignment horizontal="left" vertical="center"/>
      <protection hidden="1"/>
    </xf>
    <xf numFmtId="9" fontId="4" fillId="0" borderId="0" xfId="1" applyNumberFormat="1" applyFont="1" applyFill="1" applyAlignment="1" applyProtection="1">
      <alignment vertical="center"/>
      <protection hidden="1"/>
    </xf>
    <xf numFmtId="38" fontId="10" fillId="0" borderId="0" xfId="1" applyFont="1" applyFill="1" applyBorder="1" applyAlignment="1" applyProtection="1">
      <alignment horizontal="right" vertical="center"/>
      <protection hidden="1"/>
    </xf>
    <xf numFmtId="38" fontId="4" fillId="0" borderId="0" xfId="1" applyFont="1" applyFill="1" applyBorder="1" applyAlignment="1" applyProtection="1">
      <alignment horizontal="left" vertical="center"/>
      <protection hidden="1"/>
    </xf>
    <xf numFmtId="38" fontId="21" fillId="0" borderId="0" xfId="1" applyFont="1" applyFill="1" applyAlignment="1" applyProtection="1">
      <alignment horizontal="center" vertical="center"/>
      <protection hidden="1"/>
    </xf>
    <xf numFmtId="38" fontId="19" fillId="0" borderId="0" xfId="1" applyFont="1" applyFill="1" applyAlignment="1" applyProtection="1">
      <alignment horizontal="center" vertical="center"/>
      <protection hidden="1"/>
    </xf>
    <xf numFmtId="180" fontId="34" fillId="0" borderId="0" xfId="1" applyNumberFormat="1" applyFont="1" applyFill="1" applyAlignment="1" applyProtection="1">
      <alignment horizontal="center" vertical="center" wrapText="1"/>
      <protection hidden="1"/>
    </xf>
    <xf numFmtId="38" fontId="10" fillId="0" borderId="0" xfId="1" applyFont="1" applyFill="1" applyBorder="1" applyProtection="1">
      <alignment vertical="center"/>
      <protection hidden="1"/>
    </xf>
    <xf numFmtId="38" fontId="5" fillId="0" borderId="0" xfId="1" applyFont="1" applyFill="1" applyAlignment="1" applyProtection="1">
      <alignment horizontal="right" vertical="center"/>
      <protection locked="0" hidden="1"/>
    </xf>
    <xf numFmtId="38" fontId="14" fillId="0" borderId="0" xfId="1" applyFont="1" applyFill="1" applyProtection="1">
      <alignment vertical="center"/>
      <protection locked="0" hidden="1"/>
    </xf>
    <xf numFmtId="38" fontId="4" fillId="0" borderId="0" xfId="1" quotePrefix="1" applyFont="1" applyFill="1" applyProtection="1">
      <alignment vertical="center"/>
      <protection hidden="1"/>
    </xf>
    <xf numFmtId="38" fontId="5" fillId="0" borderId="0" xfId="1" applyFont="1" applyFill="1" applyProtection="1">
      <alignment vertical="center"/>
      <protection locked="0" hidden="1"/>
    </xf>
    <xf numFmtId="38" fontId="4" fillId="0" borderId="0" xfId="1" quotePrefix="1" applyFont="1" applyFill="1" applyProtection="1">
      <alignment vertical="center"/>
      <protection locked="0" hidden="1"/>
    </xf>
    <xf numFmtId="38" fontId="4" fillId="0" borderId="0" xfId="1" applyFont="1" applyFill="1" applyAlignment="1" applyProtection="1">
      <alignment horizontal="center" vertical="center" textRotation="255"/>
      <protection hidden="1"/>
    </xf>
    <xf numFmtId="38" fontId="4" fillId="0" borderId="0" xfId="1" applyFont="1" applyFill="1" applyBorder="1" applyAlignment="1" applyProtection="1">
      <alignment vertical="center"/>
      <protection locked="0" hidden="1"/>
    </xf>
    <xf numFmtId="38" fontId="41" fillId="0" borderId="0" xfId="1" applyFont="1" applyFill="1" applyAlignment="1" applyProtection="1">
      <alignment vertical="center"/>
      <protection locked="0" hidden="1"/>
    </xf>
    <xf numFmtId="176" fontId="4" fillId="0" borderId="0" xfId="1" applyNumberFormat="1" applyFont="1" applyFill="1" applyAlignment="1" applyProtection="1">
      <alignment horizontal="center" vertical="center"/>
      <protection locked="0" hidden="1"/>
    </xf>
    <xf numFmtId="38" fontId="3" fillId="0" borderId="0" xfId="1" applyFont="1" applyFill="1" applyProtection="1">
      <alignment vertical="center"/>
    </xf>
    <xf numFmtId="38" fontId="7" fillId="0" borderId="4" xfId="1" applyFont="1" applyFill="1" applyBorder="1" applyProtection="1">
      <alignment vertical="center"/>
      <protection hidden="1"/>
    </xf>
    <xf numFmtId="180" fontId="35" fillId="0" borderId="0" xfId="1" applyNumberFormat="1" applyFont="1" applyFill="1" applyAlignment="1" applyProtection="1">
      <alignment horizontal="center" vertical="center"/>
      <protection hidden="1"/>
    </xf>
    <xf numFmtId="9" fontId="7" fillId="0" borderId="0" xfId="1" applyNumberFormat="1" applyFont="1" applyFill="1" applyAlignment="1" applyProtection="1">
      <alignment horizontal="center" vertical="center"/>
      <protection hidden="1"/>
    </xf>
    <xf numFmtId="179" fontId="4" fillId="0" borderId="0" xfId="1" applyNumberFormat="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187" fontId="3" fillId="0" borderId="0" xfId="1" applyNumberFormat="1" applyFont="1" applyFill="1" applyAlignment="1" applyProtection="1">
      <alignment horizontal="left" vertical="center"/>
      <protection locked="0" hidden="1"/>
    </xf>
    <xf numFmtId="176" fontId="6" fillId="0" borderId="0" xfId="1" applyNumberFormat="1" applyFont="1" applyFill="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vertical="center"/>
      <protection locked="0" hidden="1"/>
    </xf>
    <xf numFmtId="38" fontId="9" fillId="0" borderId="0" xfId="1" applyFont="1" applyFill="1" applyBorder="1" applyAlignment="1" applyProtection="1">
      <alignment horizontal="center" vertical="center"/>
    </xf>
    <xf numFmtId="176" fontId="5" fillId="0" borderId="0" xfId="1" applyNumberFormat="1" applyFont="1" applyFill="1" applyAlignment="1" applyProtection="1">
      <alignment horizontal="center" vertical="center"/>
      <protection hidden="1"/>
    </xf>
    <xf numFmtId="38" fontId="29" fillId="0" borderId="0" xfId="1" applyFont="1" applyFill="1" applyAlignment="1" applyProtection="1">
      <alignment horizontal="right" vertical="center"/>
      <protection locked="0" hidden="1"/>
    </xf>
    <xf numFmtId="38" fontId="18" fillId="0" borderId="0" xfId="1" applyFont="1" applyFill="1" applyAlignment="1" applyProtection="1">
      <alignment horizontal="left" vertical="center"/>
      <protection hidden="1"/>
    </xf>
    <xf numFmtId="180" fontId="5" fillId="0" borderId="0" xfId="1" applyNumberFormat="1" applyFont="1" applyFill="1" applyBorder="1" applyAlignment="1" applyProtection="1">
      <alignment horizontal="center" vertical="center"/>
      <protection hidden="1"/>
    </xf>
    <xf numFmtId="180" fontId="5" fillId="0" borderId="0" xfId="1" applyNumberFormat="1" applyFont="1" applyFill="1" applyAlignment="1" applyProtection="1">
      <alignment horizontal="center" vertical="center"/>
      <protection hidden="1"/>
    </xf>
    <xf numFmtId="38" fontId="23" fillId="0" borderId="0" xfId="1" applyFont="1" applyFill="1" applyBorder="1" applyProtection="1">
      <alignment vertical="center"/>
      <protection hidden="1"/>
    </xf>
    <xf numFmtId="38" fontId="23" fillId="0" borderId="0" xfId="1" applyFont="1" applyFill="1" applyBorder="1" applyAlignment="1" applyProtection="1">
      <alignment horizontal="right" vertical="center"/>
      <protection hidden="1"/>
    </xf>
    <xf numFmtId="38" fontId="10" fillId="0" borderId="0" xfId="1" applyFont="1" applyFill="1" applyBorder="1" applyProtection="1">
      <alignment vertical="center"/>
    </xf>
    <xf numFmtId="38" fontId="10" fillId="0" borderId="0" xfId="1" applyFont="1" applyFill="1" applyBorder="1" applyAlignment="1" applyProtection="1">
      <alignment horizontal="right" vertical="center"/>
    </xf>
    <xf numFmtId="38" fontId="13" fillId="0" borderId="0" xfId="1" applyFont="1" applyFill="1" applyProtection="1">
      <alignment vertical="center"/>
      <protection hidden="1"/>
    </xf>
    <xf numFmtId="38" fontId="13" fillId="0" borderId="0" xfId="1" applyFont="1" applyFill="1" applyBorder="1" applyAlignment="1" applyProtection="1">
      <alignment vertical="center"/>
      <protection hidden="1"/>
    </xf>
    <xf numFmtId="38" fontId="23" fillId="0" borderId="0" xfId="1" applyFont="1" applyFill="1" applyAlignment="1" applyProtection="1">
      <alignment horizontal="left" vertical="center"/>
      <protection hidden="1"/>
    </xf>
    <xf numFmtId="38" fontId="5" fillId="0" borderId="0" xfId="1" applyFont="1" applyFill="1" applyBorder="1" applyAlignment="1" applyProtection="1">
      <alignment vertical="center"/>
      <protection locked="0" hidden="1"/>
    </xf>
    <xf numFmtId="38" fontId="23" fillId="0" borderId="0" xfId="1" applyFont="1" applyFill="1" applyProtection="1">
      <alignment vertical="center"/>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vertical="center"/>
    </xf>
    <xf numFmtId="0" fontId="0" fillId="0" borderId="5" xfId="0" applyBorder="1" applyAlignment="1">
      <alignment horizontal="center" vertical="center"/>
    </xf>
    <xf numFmtId="0" fontId="0" fillId="0" borderId="5" xfId="0" applyBorder="1">
      <alignment vertical="center"/>
    </xf>
    <xf numFmtId="180" fontId="22" fillId="0" borderId="5" xfId="1" applyNumberFormat="1" applyFont="1" applyBorder="1" applyProtection="1">
      <alignment vertical="center"/>
    </xf>
    <xf numFmtId="180" fontId="22" fillId="0" borderId="5" xfId="1" applyNumberFormat="1" applyFont="1" applyFill="1" applyBorder="1" applyProtection="1">
      <alignment vertical="center"/>
    </xf>
    <xf numFmtId="0" fontId="0" fillId="0" borderId="5" xfId="0" applyBorder="1" applyAlignment="1">
      <alignment horizontal="left" vertical="center" wrapText="1"/>
    </xf>
    <xf numFmtId="38" fontId="19" fillId="0" borderId="0" xfId="1" applyFont="1" applyFill="1" applyAlignment="1" applyProtection="1">
      <alignment vertical="top"/>
      <protection hidden="1"/>
    </xf>
    <xf numFmtId="38" fontId="30" fillId="0" borderId="0" xfId="1" applyFont="1" applyFill="1" applyBorder="1" applyAlignment="1" applyProtection="1">
      <alignment vertical="top"/>
      <protection hidden="1"/>
    </xf>
    <xf numFmtId="183" fontId="19" fillId="0" borderId="1" xfId="1" applyNumberFormat="1" applyFont="1" applyFill="1" applyBorder="1" applyAlignment="1" applyProtection="1">
      <alignment horizontal="center" vertical="center"/>
      <protection locked="0" hidden="1"/>
    </xf>
    <xf numFmtId="183" fontId="19" fillId="0" borderId="3" xfId="1" applyNumberFormat="1" applyFont="1" applyFill="1" applyBorder="1" applyAlignment="1" applyProtection="1">
      <alignment horizontal="center" vertical="center"/>
      <protection locked="0" hidden="1"/>
    </xf>
    <xf numFmtId="38" fontId="19" fillId="0" borderId="1" xfId="1" applyFont="1" applyFill="1" applyBorder="1" applyAlignment="1" applyProtection="1">
      <alignment horizontal="center" vertical="center"/>
      <protection locked="0" hidden="1"/>
    </xf>
    <xf numFmtId="38" fontId="19" fillId="0" borderId="3" xfId="1" applyFont="1" applyFill="1" applyBorder="1" applyAlignment="1" applyProtection="1">
      <alignment horizontal="center" vertical="center"/>
      <protection locked="0" hidden="1"/>
    </xf>
    <xf numFmtId="38" fontId="4" fillId="0" borderId="0" xfId="1" applyFont="1" applyFill="1" applyBorder="1" applyAlignment="1" applyProtection="1">
      <alignment horizontal="right" vertical="center"/>
      <protection hidden="1"/>
    </xf>
    <xf numFmtId="38" fontId="4" fillId="0" borderId="0" xfId="1" applyFont="1" applyFill="1" applyBorder="1" applyAlignment="1" applyProtection="1">
      <alignment horizontal="center" vertical="center"/>
      <protection hidden="1"/>
    </xf>
    <xf numFmtId="183" fontId="4" fillId="0" borderId="0" xfId="1" applyNumberFormat="1" applyFont="1" applyFill="1" applyBorder="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5" fillId="0" borderId="0" xfId="1" applyFont="1" applyFill="1" applyAlignment="1" applyProtection="1">
      <alignment horizontal="right" vertical="center"/>
      <protection locked="0" hidden="1"/>
    </xf>
    <xf numFmtId="38" fontId="30" fillId="0" borderId="0" xfId="1" applyFont="1" applyFill="1" applyBorder="1" applyAlignment="1" applyProtection="1">
      <alignment horizontal="center" vertical="top"/>
      <protection hidden="1"/>
    </xf>
    <xf numFmtId="38" fontId="18" fillId="0" borderId="0" xfId="1" applyFont="1" applyFill="1" applyAlignment="1" applyProtection="1">
      <alignment horizontal="center" vertical="center"/>
      <protection hidden="1"/>
    </xf>
    <xf numFmtId="38" fontId="20" fillId="0" borderId="0" xfId="1" applyFont="1" applyFill="1" applyAlignment="1" applyProtection="1">
      <alignment horizontal="left" vertical="center"/>
      <protection hidden="1"/>
    </xf>
    <xf numFmtId="38" fontId="7" fillId="0" borderId="0" xfId="1" applyFont="1" applyFill="1" applyAlignment="1" applyProtection="1">
      <alignment horizontal="center"/>
      <protection hidden="1"/>
    </xf>
    <xf numFmtId="176" fontId="24"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180" fontId="35" fillId="0" borderId="0" xfId="1" applyNumberFormat="1" applyFont="1" applyFill="1" applyAlignment="1" applyProtection="1">
      <alignment horizontal="right" vertical="center" wrapText="1"/>
      <protection hidden="1"/>
    </xf>
    <xf numFmtId="38" fontId="20"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shrinkToFit="1"/>
      <protection hidden="1"/>
    </xf>
    <xf numFmtId="38" fontId="4" fillId="0" borderId="0" xfId="1" applyFont="1" applyFill="1" applyAlignment="1" applyProtection="1">
      <alignment horizontal="right" vertical="center"/>
      <protection hidden="1"/>
    </xf>
    <xf numFmtId="176" fontId="4" fillId="0" borderId="0" xfId="1" applyNumberFormat="1" applyFont="1" applyFill="1" applyAlignment="1" applyProtection="1">
      <alignment horizontal="right" vertical="center"/>
      <protection hidden="1"/>
    </xf>
    <xf numFmtId="179"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76" fontId="4" fillId="0" borderId="0" xfId="1" applyNumberFormat="1" applyFont="1" applyFill="1" applyBorder="1" applyAlignment="1" applyProtection="1">
      <alignment horizontal="center" vertical="center"/>
      <protection hidden="1"/>
    </xf>
    <xf numFmtId="9" fontId="7"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38" fontId="7" fillId="0" borderId="0" xfId="1" applyFont="1" applyFill="1" applyAlignment="1" applyProtection="1">
      <alignment horizontal="center" vertical="center"/>
      <protection hidden="1"/>
    </xf>
    <xf numFmtId="9" fontId="10" fillId="0" borderId="0" xfId="1" applyNumberFormat="1" applyFont="1" applyFill="1" applyAlignment="1" applyProtection="1">
      <alignment horizontal="center" vertical="center"/>
      <protection hidden="1"/>
    </xf>
    <xf numFmtId="38" fontId="19" fillId="0" borderId="2" xfId="1" applyFont="1" applyFill="1" applyBorder="1" applyAlignment="1" applyProtection="1">
      <alignment horizontal="center" vertical="center"/>
      <protection locked="0" hidden="1"/>
    </xf>
    <xf numFmtId="38" fontId="24" fillId="0" borderId="0" xfId="1" applyFont="1" applyFill="1" applyBorder="1" applyAlignment="1" applyProtection="1">
      <alignment horizontal="center" vertical="center"/>
    </xf>
    <xf numFmtId="38" fontId="23"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176" fontId="7" fillId="0" borderId="0" xfId="1" applyNumberFormat="1" applyFont="1" applyFill="1" applyAlignment="1" applyProtection="1">
      <alignment horizontal="center" vertical="center"/>
      <protection hidden="1"/>
    </xf>
    <xf numFmtId="176" fontId="7" fillId="0" borderId="4" xfId="1" applyNumberFormat="1" applyFont="1" applyFill="1" applyBorder="1" applyAlignment="1" applyProtection="1">
      <alignment horizontal="center" vertical="center"/>
      <protection hidden="1"/>
    </xf>
    <xf numFmtId="180" fontId="7" fillId="0" borderId="0" xfId="1" applyNumberFormat="1" applyFont="1" applyFill="1" applyAlignment="1" applyProtection="1">
      <alignment horizontal="center" vertical="center"/>
      <protection hidden="1"/>
    </xf>
    <xf numFmtId="180" fontId="7" fillId="0" borderId="4" xfId="1" applyNumberFormat="1" applyFont="1" applyFill="1" applyBorder="1" applyAlignment="1" applyProtection="1">
      <alignment horizontal="center" vertical="center"/>
      <protection hidden="1"/>
    </xf>
    <xf numFmtId="38" fontId="4" fillId="0" borderId="4" xfId="1" applyFont="1" applyFill="1" applyBorder="1" applyAlignment="1" applyProtection="1">
      <alignment horizontal="right" vertical="center"/>
      <protection hidden="1"/>
    </xf>
    <xf numFmtId="180" fontId="35" fillId="0" borderId="0" xfId="1" applyNumberFormat="1" applyFont="1" applyFill="1" applyAlignment="1" applyProtection="1">
      <alignment horizontal="left" vertical="center" wrapText="1"/>
      <protection hidden="1"/>
    </xf>
    <xf numFmtId="176" fontId="4" fillId="0" borderId="7" xfId="1" applyNumberFormat="1" applyFont="1" applyFill="1" applyBorder="1" applyAlignment="1" applyProtection="1">
      <alignment horizontal="right" vertical="center"/>
      <protection hidden="1"/>
    </xf>
    <xf numFmtId="176" fontId="4" fillId="0" borderId="4" xfId="1" applyNumberFormat="1" applyFont="1" applyFill="1" applyBorder="1" applyAlignment="1" applyProtection="1">
      <alignment horizontal="right" vertical="center"/>
      <protection hidden="1"/>
    </xf>
    <xf numFmtId="38" fontId="3" fillId="0" borderId="0" xfId="1" applyFont="1" applyFill="1" applyAlignment="1" applyProtection="1">
      <alignment horizontal="center" vertical="top"/>
      <protection hidden="1"/>
    </xf>
    <xf numFmtId="38" fontId="24" fillId="0" borderId="1" xfId="1" applyFont="1" applyFill="1" applyBorder="1" applyAlignment="1" applyProtection="1">
      <alignment horizontal="center" vertical="center"/>
      <protection locked="0" hidden="1"/>
    </xf>
    <xf numFmtId="38" fontId="24" fillId="0" borderId="3" xfId="1" applyFont="1" applyFill="1" applyBorder="1" applyAlignment="1" applyProtection="1">
      <alignment horizontal="center" vertical="center"/>
      <protection locked="0" hidden="1"/>
    </xf>
    <xf numFmtId="38" fontId="10" fillId="0" borderId="0" xfId="1" applyFont="1" applyFill="1" applyBorder="1" applyAlignment="1" applyProtection="1">
      <alignment horizontal="center" vertical="center"/>
    </xf>
    <xf numFmtId="38" fontId="18" fillId="0" borderId="0" xfId="1" applyFont="1" applyFill="1" applyAlignment="1" applyProtection="1">
      <alignment horizontal="left" vertical="center"/>
      <protection hidden="1"/>
    </xf>
    <xf numFmtId="38" fontId="29" fillId="0" borderId="0" xfId="1" applyFont="1" applyFill="1" applyAlignment="1" applyProtection="1">
      <alignment horizontal="right" vertical="center"/>
      <protection locked="0" hidden="1"/>
    </xf>
    <xf numFmtId="0" fontId="3" fillId="0" borderId="0" xfId="1" applyNumberFormat="1" applyFont="1" applyFill="1" applyAlignment="1" applyProtection="1">
      <alignment horizontal="center" vertical="center"/>
      <protection locked="0" hidden="1"/>
    </xf>
    <xf numFmtId="38" fontId="3" fillId="0" borderId="0" xfId="1" applyFont="1" applyFill="1" applyAlignment="1" applyProtection="1">
      <alignment horizontal="center" vertical="center"/>
      <protection locked="0" hidden="1"/>
    </xf>
    <xf numFmtId="190" fontId="3" fillId="0" borderId="0" xfId="1" applyNumberFormat="1" applyFont="1" applyFill="1" applyAlignment="1" applyProtection="1">
      <alignment horizontal="center" vertical="center"/>
      <protection locked="0" hidden="1"/>
    </xf>
    <xf numFmtId="38" fontId="20" fillId="0" borderId="0" xfId="1" applyFont="1" applyFill="1" applyAlignment="1" applyProtection="1">
      <alignment horizontal="left" vertical="top"/>
      <protection hidden="1"/>
    </xf>
    <xf numFmtId="176" fontId="42" fillId="0" borderId="0" xfId="1" applyNumberFormat="1" applyFont="1" applyFill="1" applyAlignment="1" applyProtection="1">
      <alignment horizontal="right" vertical="center"/>
      <protection hidden="1"/>
    </xf>
    <xf numFmtId="176" fontId="24" fillId="0" borderId="0" xfId="1" applyNumberFormat="1" applyFont="1" applyFill="1" applyAlignment="1" applyProtection="1">
      <alignment horizontal="left" vertical="center"/>
      <protection hidden="1"/>
    </xf>
    <xf numFmtId="181" fontId="23" fillId="0" borderId="0" xfId="1" applyNumberFormat="1" applyFont="1" applyFill="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182" fontId="5" fillId="0" borderId="1" xfId="1" applyNumberFormat="1" applyFont="1" applyFill="1" applyBorder="1" applyAlignment="1" applyProtection="1">
      <alignment horizontal="center" vertical="center"/>
      <protection locked="0" hidden="1"/>
    </xf>
    <xf numFmtId="182" fontId="5" fillId="0" borderId="3" xfId="1" applyNumberFormat="1" applyFont="1" applyFill="1" applyBorder="1" applyAlignment="1" applyProtection="1">
      <alignment horizontal="center" vertical="center"/>
      <protection locked="0" hidden="1"/>
    </xf>
    <xf numFmtId="183" fontId="5" fillId="0" borderId="1" xfId="1" applyNumberFormat="1" applyFont="1" applyFill="1" applyBorder="1" applyAlignment="1" applyProtection="1">
      <alignment horizontal="center" vertical="center"/>
      <protection locked="0" hidden="1"/>
    </xf>
    <xf numFmtId="183" fontId="5" fillId="0" borderId="3" xfId="1" applyNumberFormat="1" applyFont="1" applyFill="1" applyBorder="1" applyAlignment="1" applyProtection="1">
      <alignment horizontal="center" vertical="center"/>
      <protection locked="0" hidden="1"/>
    </xf>
    <xf numFmtId="181" fontId="3" fillId="0" borderId="0" xfId="1" applyNumberFormat="1" applyFont="1" applyFill="1" applyAlignment="1" applyProtection="1">
      <alignment horizontal="center" vertical="center"/>
      <protection locked="0" hidden="1"/>
    </xf>
    <xf numFmtId="38" fontId="4" fillId="0" borderId="0" xfId="1" applyFont="1" applyFill="1" applyAlignment="1" applyProtection="1">
      <alignment horizontal="center" vertical="center" wrapText="1"/>
      <protection hidden="1"/>
    </xf>
    <xf numFmtId="38" fontId="4" fillId="0" borderId="0" xfId="1" applyFont="1" applyFill="1" applyAlignment="1" applyProtection="1">
      <alignment horizontal="center" vertical="top"/>
      <protection hidden="1"/>
    </xf>
    <xf numFmtId="38" fontId="28" fillId="0" borderId="0" xfId="1" applyFont="1" applyFill="1" applyBorder="1" applyAlignment="1" applyProtection="1">
      <alignment horizontal="center" vertical="center"/>
      <protection hidden="1"/>
    </xf>
    <xf numFmtId="188" fontId="5" fillId="0" borderId="1" xfId="1" applyNumberFormat="1" applyFont="1" applyFill="1" applyBorder="1" applyAlignment="1" applyProtection="1">
      <alignment horizontal="center" vertical="center"/>
      <protection locked="0" hidden="1"/>
    </xf>
    <xf numFmtId="188" fontId="5" fillId="0" borderId="3" xfId="1" applyNumberFormat="1" applyFont="1" applyFill="1" applyBorder="1" applyAlignment="1" applyProtection="1">
      <alignment horizontal="center" vertical="center"/>
      <protection locked="0" hidden="1"/>
    </xf>
    <xf numFmtId="189" fontId="5" fillId="0" borderId="1" xfId="1" applyNumberFormat="1" applyFont="1" applyFill="1" applyBorder="1" applyAlignment="1" applyProtection="1">
      <alignment horizontal="center" vertical="center"/>
      <protection locked="0" hidden="1"/>
    </xf>
    <xf numFmtId="189" fontId="5" fillId="0" borderId="3" xfId="1" applyNumberFormat="1" applyFont="1" applyFill="1" applyBorder="1" applyAlignment="1" applyProtection="1">
      <alignment horizontal="center" vertical="center"/>
      <protection locked="0" hidden="1"/>
    </xf>
    <xf numFmtId="184" fontId="3" fillId="0" borderId="0" xfId="1" applyNumberFormat="1" applyFont="1" applyFill="1" applyAlignment="1" applyProtection="1">
      <alignment horizontal="right" vertical="center"/>
      <protection locked="0" hidden="1"/>
    </xf>
    <xf numFmtId="187" fontId="3" fillId="0" borderId="0" xfId="1" applyNumberFormat="1" applyFont="1" applyFill="1" applyAlignment="1" applyProtection="1">
      <alignment horizontal="left" vertical="center"/>
      <protection locked="0" hidden="1"/>
    </xf>
    <xf numFmtId="184" fontId="4" fillId="0" borderId="0" xfId="1" applyNumberFormat="1" applyFont="1" applyFill="1" applyBorder="1" applyAlignment="1" applyProtection="1">
      <alignment horizontal="right" vertical="center"/>
      <protection hidden="1"/>
    </xf>
    <xf numFmtId="185" fontId="4" fillId="0" borderId="0" xfId="1" applyNumberFormat="1" applyFont="1" applyFill="1" applyBorder="1" applyAlignment="1" applyProtection="1">
      <alignment horizontal="left" vertical="center"/>
      <protection hidden="1"/>
    </xf>
    <xf numFmtId="184" fontId="4" fillId="0" borderId="0" xfId="1" applyNumberFormat="1" applyFont="1" applyFill="1" applyAlignment="1" applyProtection="1">
      <alignment horizontal="right" vertical="center"/>
      <protection hidden="1"/>
    </xf>
    <xf numFmtId="185" fontId="4" fillId="0" borderId="0" xfId="1" applyNumberFormat="1" applyFont="1" applyFill="1" applyAlignment="1" applyProtection="1">
      <alignment horizontal="left" vertical="center"/>
      <protection hidden="1"/>
    </xf>
    <xf numFmtId="184" fontId="5" fillId="0" borderId="0" xfId="1" applyNumberFormat="1" applyFont="1" applyFill="1" applyBorder="1" applyAlignment="1" applyProtection="1">
      <alignment horizontal="center" vertical="center"/>
      <protection hidden="1"/>
    </xf>
    <xf numFmtId="0" fontId="28" fillId="0" borderId="0" xfId="0" applyFont="1" applyAlignment="1" applyProtection="1">
      <alignment horizontal="right" vertical="center"/>
      <protection hidden="1"/>
    </xf>
    <xf numFmtId="38" fontId="3" fillId="0" borderId="0" xfId="1" applyFont="1" applyFill="1" applyAlignment="1" applyProtection="1">
      <alignment horizontal="center"/>
      <protection hidden="1"/>
    </xf>
    <xf numFmtId="18" fontId="3" fillId="0" borderId="0" xfId="1" applyNumberFormat="1" applyFont="1" applyFill="1" applyAlignment="1" applyProtection="1">
      <alignment horizontal="center" vertical="center"/>
      <protection locked="0" hidden="1"/>
    </xf>
    <xf numFmtId="186" fontId="3" fillId="0" borderId="0" xfId="1" applyNumberFormat="1" applyFont="1" applyFill="1" applyAlignment="1" applyProtection="1">
      <alignment horizontal="center" vertical="center"/>
      <protection locked="0" hidden="1"/>
    </xf>
    <xf numFmtId="176" fontId="6" fillId="0" borderId="0" xfId="1" applyNumberFormat="1" applyFont="1" applyFill="1" applyAlignment="1" applyProtection="1">
      <alignment horizontal="center" vertical="center"/>
      <protection hidden="1"/>
    </xf>
    <xf numFmtId="176" fontId="42" fillId="0" borderId="0" xfId="1" applyNumberFormat="1" applyFont="1" applyFill="1" applyAlignment="1" applyProtection="1">
      <alignment horizontal="center" vertical="center"/>
      <protection hidden="1"/>
    </xf>
    <xf numFmtId="189" fontId="5" fillId="0" borderId="2" xfId="1" applyNumberFormat="1" applyFont="1" applyFill="1" applyBorder="1" applyAlignment="1" applyProtection="1">
      <alignment horizontal="center" vertical="center"/>
      <protection locked="0" hidden="1"/>
    </xf>
    <xf numFmtId="38" fontId="15" fillId="0" borderId="0" xfId="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38" fontId="43" fillId="0" borderId="0" xfId="1" applyFont="1" applyFill="1" applyBorder="1" applyAlignment="1" applyProtection="1">
      <alignment horizontal="center" vertical="center"/>
    </xf>
    <xf numFmtId="38" fontId="9" fillId="0" borderId="0" xfId="1" applyFont="1" applyFill="1" applyBorder="1" applyAlignment="1" applyProtection="1">
      <alignment horizontal="center" vertical="center"/>
    </xf>
    <xf numFmtId="38" fontId="19" fillId="0" borderId="0" xfId="1" applyFont="1" applyFill="1" applyAlignment="1" applyProtection="1">
      <alignment horizontal="left" vertical="center"/>
      <protection hidden="1"/>
    </xf>
    <xf numFmtId="180" fontId="5" fillId="0" borderId="0" xfId="1" applyNumberFormat="1" applyFont="1" applyFill="1" applyBorder="1" applyAlignment="1" applyProtection="1">
      <alignment horizontal="center" vertical="center"/>
      <protection hidden="1"/>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protection hidden="1"/>
    </xf>
    <xf numFmtId="38" fontId="9" fillId="0" borderId="1" xfId="1" applyFont="1" applyFill="1" applyBorder="1" applyAlignment="1" applyProtection="1">
      <alignment horizontal="center" vertical="center"/>
      <protection locked="0"/>
    </xf>
    <xf numFmtId="38" fontId="9" fillId="0" borderId="3" xfId="1" applyFont="1" applyFill="1" applyBorder="1" applyAlignment="1" applyProtection="1">
      <alignment horizontal="center" vertical="center"/>
      <protection locked="0"/>
    </xf>
    <xf numFmtId="38" fontId="3" fillId="0" borderId="0" xfId="1" applyFont="1" applyFill="1" applyAlignment="1" applyProtection="1">
      <alignment horizontal="left" vertical="center"/>
      <protection hidden="1"/>
    </xf>
    <xf numFmtId="0" fontId="0" fillId="0" borderId="0" xfId="0" applyAlignment="1">
      <alignment horizontal="left" vertical="center"/>
    </xf>
    <xf numFmtId="38" fontId="4" fillId="0" borderId="0" xfId="1" applyFont="1" applyFill="1" applyAlignment="1" applyProtection="1">
      <alignment horizontal="center" vertical="center"/>
    </xf>
    <xf numFmtId="38" fontId="3" fillId="0" borderId="0" xfId="1" applyFont="1" applyFill="1" applyAlignment="1" applyProtection="1">
      <alignment horizontal="left" vertical="top"/>
      <protection hidden="1"/>
    </xf>
    <xf numFmtId="38" fontId="7" fillId="0" borderId="0" xfId="1" applyFont="1" applyFill="1" applyAlignment="1" applyProtection="1">
      <alignment horizontal="right" vertical="center"/>
      <protection hidden="1"/>
    </xf>
    <xf numFmtId="176" fontId="23" fillId="0" borderId="0" xfId="1" applyNumberFormat="1" applyFont="1" applyFill="1" applyAlignment="1" applyProtection="1">
      <alignment horizontal="center" vertical="center"/>
      <protection hidden="1"/>
    </xf>
    <xf numFmtId="176" fontId="5" fillId="0" borderId="0" xfId="1" applyNumberFormat="1" applyFont="1" applyFill="1" applyAlignment="1" applyProtection="1">
      <alignment horizontal="center" vertical="center"/>
      <protection hidden="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center" vertical="center" wrapText="1"/>
    </xf>
  </cellXfs>
  <cellStyles count="3">
    <cellStyle name="桁区切り" xfId="1" builtinId="6"/>
    <cellStyle name="通貨" xfId="2" builtinId="7"/>
    <cellStyle name="標準" xfId="0" builtinId="0"/>
  </cellStyles>
  <dxfs count="3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solid">
          <bgColor theme="0"/>
        </patternFill>
      </fill>
    </dxf>
    <dxf>
      <fill>
        <patternFill patternType="none">
          <bgColor auto="1"/>
        </patternFill>
      </fill>
    </dxf>
    <dxf>
      <fill>
        <patternFill>
          <bgColor theme="3" tint="0.79998168889431442"/>
        </patternFill>
      </fill>
      <border>
        <left/>
        <right/>
        <top/>
        <bottom/>
        <vertical/>
        <horizontal/>
      </border>
    </dxf>
    <dxf>
      <fill>
        <patternFill patternType="none">
          <bgColor auto="1"/>
        </patternFill>
      </fill>
    </dxf>
    <dxf>
      <fill>
        <patternFill patternType="none">
          <bgColor auto="1"/>
        </patternFill>
      </fill>
    </dxf>
    <dxf>
      <font>
        <color theme="0"/>
      </font>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dxf>
    <dxf>
      <font>
        <color theme="0"/>
      </font>
    </dxf>
    <dxf>
      <font>
        <color theme="0"/>
      </font>
    </dxf>
    <dxf>
      <font>
        <color theme="0"/>
      </font>
      <fill>
        <patternFill>
          <bgColor theme="0"/>
        </patternFill>
      </fill>
      <border>
        <left/>
        <right/>
        <top/>
        <bottom/>
      </border>
    </dxf>
    <dxf>
      <font>
        <color theme="0"/>
      </font>
      <border>
        <left/>
        <right/>
        <top/>
        <bottom/>
        <vertical/>
        <horizontal/>
      </border>
    </dxf>
    <dxf>
      <fill>
        <patternFill patternType="none">
          <bgColor auto="1"/>
        </patternFill>
      </fill>
    </dxf>
  </dxfs>
  <tableStyles count="0" defaultTableStyle="TableStyleMedium9" defaultPivotStyle="PivotStyleLight16"/>
  <colors>
    <mruColors>
      <color rgb="FF00FF00"/>
      <color rgb="FFCCFFFF"/>
      <color rgb="FF99FF99"/>
      <color rgb="FFCCFF99"/>
      <color rgb="FFFFCCCC"/>
      <color rgb="FFFF99FF"/>
      <color rgb="FF33CCFF"/>
      <color rgb="FF00CC99"/>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W$10" lockText="1"/>
</file>

<file path=xl/ctrlProps/ctrlProp10.xml><?xml version="1.0" encoding="utf-8"?>
<formControlPr xmlns="http://schemas.microsoft.com/office/spreadsheetml/2009/9/main" objectType="Drop" dropLines="10" dropStyle="combo" dx="16" fmlaLink="$AW$5" fmlaRange="$AX$14:$AX$23" sel="3" val="0"/>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BA$78" lockText="1"/>
</file>

<file path=xl/ctrlProps/ctrlProp17.xml><?xml version="1.0" encoding="utf-8"?>
<formControlPr xmlns="http://schemas.microsoft.com/office/spreadsheetml/2009/9/main" objectType="CheckBox" fmlaLink="$BA$91" lockText="1"/>
</file>

<file path=xl/ctrlProps/ctrlProp18.xml><?xml version="1.0" encoding="utf-8"?>
<formControlPr xmlns="http://schemas.microsoft.com/office/spreadsheetml/2009/9/main" objectType="Drop" dropLines="10" dropStyle="combo" dx="16" fmlaLink="$BC$5" fmlaRange="$BS$40:$BS$49" sel="3" val="0"/>
</file>

<file path=xl/ctrlProps/ctrlProp19.xml><?xml version="1.0" encoding="utf-8"?>
<formControlPr xmlns="http://schemas.microsoft.com/office/spreadsheetml/2009/9/main" objectType="Radio" checked="Checked" firstButton="1" fmlaLink="$BC$12" lockText="1"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G$89" lockText="1" noThreeD="1"/>
</file>

<file path=xl/ctrlProps/ctrlProp8.xml><?xml version="1.0" encoding="utf-8"?>
<formControlPr xmlns="http://schemas.microsoft.com/office/spreadsheetml/2009/9/main" objectType="CheckBox" checked="Checked" fmlaLink="$AW$102" lockText="1"/>
</file>

<file path=xl/ctrlProps/ctrlProp9.xml><?xml version="1.0" encoding="utf-8"?>
<formControlPr xmlns="http://schemas.microsoft.com/office/spreadsheetml/2009/9/main" objectType="CheckBox" checked="Checked" fmlaLink="$AW86" lockText="1"/>
</file>

<file path=xl/drawings/drawing1.xml><?xml version="1.0" encoding="utf-8"?>
<xdr:wsDr xmlns:xdr="http://schemas.openxmlformats.org/drawingml/2006/spreadsheetDrawing" xmlns:a="http://schemas.openxmlformats.org/drawingml/2006/main">
  <xdr:twoCellAnchor>
    <xdr:from>
      <xdr:col>0</xdr:col>
      <xdr:colOff>0</xdr:colOff>
      <xdr:row>0</xdr:row>
      <xdr:rowOff>28574</xdr:rowOff>
    </xdr:from>
    <xdr:to>
      <xdr:col>12</xdr:col>
      <xdr:colOff>4232</xdr:colOff>
      <xdr:row>70</xdr:row>
      <xdr:rowOff>112448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8574"/>
          <a:ext cx="7306732" cy="11659395"/>
        </a:xfrm>
        <a:prstGeom prst="rect">
          <a:avLst/>
        </a:prstGeom>
        <a:noFill/>
        <a:ln w="2540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運賃・料金簡易計算シミュレーター</a:t>
          </a:r>
          <a:r>
            <a:rPr kumimoji="1" lang="ja-JP" altLang="en-US" sz="1200" b="1">
              <a:solidFill>
                <a:sysClr val="windowText" lastClr="000000"/>
              </a:solidFill>
            </a:rPr>
            <a:t>（</a:t>
          </a:r>
          <a:r>
            <a:rPr kumimoji="1" lang="en-US" altLang="ja-JP" sz="1200" b="1">
              <a:solidFill>
                <a:sysClr val="windowText" lastClr="000000"/>
              </a:solidFill>
            </a:rPr>
            <a:t>Ver.6.0</a:t>
          </a:r>
          <a:r>
            <a:rPr kumimoji="1" lang="ja-JP" altLang="en-US" sz="1200" b="1">
              <a:solidFill>
                <a:sysClr val="windowText" lastClr="000000"/>
              </a:solidFill>
            </a:rPr>
            <a:t>）使用上</a:t>
          </a:r>
          <a:r>
            <a:rPr kumimoji="1" lang="ja-JP" altLang="en-US" sz="1200" b="1"/>
            <a:t>の注意点</a:t>
          </a:r>
          <a:endParaRPr kumimoji="1" lang="en-US" altLang="ja-JP" sz="1200" b="1"/>
        </a:p>
        <a:p>
          <a:pPr algn="ctr"/>
          <a:endParaRPr kumimoji="1" lang="en-US" altLang="ja-JP" sz="1200" b="1"/>
        </a:p>
        <a:p>
          <a:r>
            <a:rPr lang="ja-JP" altLang="en-US" sz="1100" b="1" i="0" u="none" strike="noStrike" baseline="0">
              <a:solidFill>
                <a:schemeClr val="dk1"/>
              </a:solidFill>
              <a:latin typeface="+mn-lt"/>
              <a:ea typeface="+mn-ea"/>
              <a:cs typeface="+mn-cs"/>
            </a:rPr>
            <a:t>このシミュレーターは、現在各運輸局において公示（令和６年３月１日公示）されている貸切バスの運賃・料金の下限額に基づき、実際の運送に適用される運賃・料金の範囲を簡易的に計算することができます。</a:t>
          </a:r>
        </a:p>
        <a:p>
          <a:endParaRPr lang="ja-JP" altLang="en-US" sz="1050">
            <a:solidFill>
              <a:schemeClr val="dk1"/>
            </a:solidFill>
            <a:latin typeface="+mn-lt"/>
            <a:ea typeface="+mn-ea"/>
            <a:cs typeface="+mn-cs"/>
          </a:endParaRPr>
        </a:p>
        <a:p>
          <a:r>
            <a:rPr lang="ja-JP" altLang="en-US" sz="1200" b="1" i="0" u="none" strike="noStrike" baseline="0">
              <a:solidFill>
                <a:schemeClr val="dk1"/>
              </a:solidFill>
              <a:latin typeface="+mn-lt"/>
              <a:ea typeface="+mn-ea"/>
              <a:cs typeface="+mn-cs"/>
            </a:rPr>
            <a:t>◎使用方法</a:t>
          </a:r>
        </a:p>
        <a:p>
          <a:r>
            <a:rPr lang="en-US" altLang="ja-JP" sz="1100" b="1" i="0" u="none" strike="noStrike" baseline="0">
              <a:solidFill>
                <a:schemeClr val="dk1"/>
              </a:solidFill>
              <a:latin typeface="+mn-lt"/>
              <a:ea typeface="+mn-ea"/>
              <a:cs typeface="+mn-cs"/>
            </a:rPr>
            <a:t>【</a:t>
          </a:r>
          <a:r>
            <a:rPr lang="ja-JP" altLang="en-US" sz="1100" b="1" i="0" u="none" strike="noStrike" baseline="0">
              <a:solidFill>
                <a:schemeClr val="dk1"/>
              </a:solidFill>
              <a:latin typeface="+mn-lt"/>
              <a:ea typeface="+mn-ea"/>
              <a:cs typeface="+mn-cs"/>
            </a:rPr>
            <a:t>各シート共通</a:t>
          </a:r>
          <a:r>
            <a:rPr lang="en-US" altLang="ja-JP" sz="1100" b="1" i="0" u="none" strike="noStrike" baseline="0">
              <a:solidFill>
                <a:schemeClr val="dk1"/>
              </a:solidFill>
              <a:latin typeface="+mn-lt"/>
              <a:ea typeface="+mn-ea"/>
              <a:cs typeface="+mn-cs"/>
            </a:rPr>
            <a:t>】</a:t>
          </a:r>
        </a:p>
        <a:p>
          <a:r>
            <a:rPr lang="ja-JP" altLang="en-US" sz="1100" b="1" i="0" u="none" strike="noStrike" baseline="0">
              <a:solidFill>
                <a:srgbClr val="FF0000"/>
              </a:solidFill>
              <a:latin typeface="+mn-lt"/>
              <a:ea typeface="+mn-ea"/>
              <a:cs typeface="+mn-cs"/>
            </a:rPr>
            <a:t>・貸切バス事業者の営業区域を管轄する運輸局等を選択してください。</a:t>
          </a:r>
        </a:p>
        <a:p>
          <a:r>
            <a:rPr lang="ja-JP" altLang="en-US" sz="1100" b="1" i="0" u="none" strike="noStrike" baseline="0">
              <a:solidFill>
                <a:srgbClr val="FF0000"/>
              </a:solidFill>
              <a:latin typeface="+mn-lt"/>
              <a:ea typeface="+mn-ea"/>
              <a:cs typeface="+mn-cs"/>
            </a:rPr>
            <a:t>・車種区分を選択してください。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時間入力シート（総走行時間がわかる場合）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・総走行時間及び走行距離、その他割引き・割増し料金等を入力してください。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時刻入力シート（出庫時間及び帰庫時間がわかる場合）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・出庫時間及び帰庫時間並びに走行距離、その他割引き・割増し料金等を入力してください。</a:t>
          </a:r>
          <a:endParaRPr lang="en-US" altLang="ja-JP" sz="1100" b="1" i="0" u="none" strike="noStrike" baseline="0">
            <a:solidFill>
              <a:srgbClr val="FF0000"/>
            </a:solidFill>
            <a:latin typeface="+mn-lt"/>
            <a:ea typeface="+mn-ea"/>
            <a:cs typeface="+mn-cs"/>
          </a:endParaRPr>
        </a:p>
        <a:p>
          <a:endParaRPr kumimoji="1" lang="en-US" altLang="ja-JP" sz="1100" b="1"/>
        </a:p>
        <a:p>
          <a:r>
            <a:rPr kumimoji="1" lang="en-US" altLang="ja-JP" sz="1100"/>
            <a:t>※</a:t>
          </a:r>
          <a:r>
            <a:rPr kumimoji="1" lang="ja-JP" altLang="en-US" sz="1100"/>
            <a:t>拘束時間が１日当たり２０時間を超えるものは想定しておりません。</a:t>
          </a:r>
          <a:endParaRPr kumimoji="1" lang="en-US" altLang="ja-JP" sz="1100"/>
        </a:p>
        <a:p>
          <a:r>
            <a:rPr kumimoji="1" lang="en-US" altLang="ja-JP" sz="1100"/>
            <a:t>※</a:t>
          </a:r>
          <a:r>
            <a:rPr kumimoji="1" lang="ja-JP" altLang="en-US" sz="1100"/>
            <a:t>いわゆる中抜け、年間契約等には対応しておりません。</a:t>
          </a:r>
          <a:endParaRPr kumimoji="1" lang="en-US" altLang="ja-JP" sz="1100"/>
        </a:p>
        <a:p>
          <a:r>
            <a:rPr kumimoji="1" lang="en-US" altLang="ja-JP" sz="1100">
              <a:solidFill>
                <a:sysClr val="windowText" lastClr="000000"/>
              </a:solidFill>
            </a:rPr>
            <a:t>※</a:t>
          </a:r>
          <a:r>
            <a:rPr kumimoji="1" lang="ja-JP" altLang="en-US" sz="1100">
              <a:solidFill>
                <a:sysClr val="windowText" lastClr="000000"/>
              </a:solidFill>
            </a:rPr>
            <a:t>運転者の勤務時間及び乗務時間に係る基準の適否には対応しておりません。</a:t>
          </a:r>
        </a:p>
        <a:p>
          <a:r>
            <a:rPr kumimoji="1" lang="en-US" altLang="ja-JP" sz="1100"/>
            <a:t>※</a:t>
          </a:r>
          <a:r>
            <a:rPr kumimoji="1" lang="ja-JP" altLang="en-US" sz="1100"/>
            <a:t>バスガイド料、有料道路利用料、フェリー料、駐車料、乗務員宿泊料その他旅客の求めによる運送以外の経費は実費負担となります。</a:t>
          </a:r>
        </a:p>
        <a:p>
          <a:endParaRPr kumimoji="1" lang="en-US" altLang="ja-JP" sz="1100"/>
        </a:p>
        <a:p>
          <a:r>
            <a:rPr kumimoji="1" lang="ja-JP" altLang="en-US" sz="1100" b="1"/>
            <a:t>＜車種区分＞</a:t>
          </a:r>
          <a:endParaRPr kumimoji="1" lang="en-US" altLang="ja-JP" sz="1100" b="1"/>
        </a:p>
        <a:p>
          <a:r>
            <a:rPr kumimoji="1" lang="ja-JP" altLang="en-US" sz="1100"/>
            <a:t>・大型車：９ｍ以上又は旅客座席数５０人以上　</a:t>
          </a:r>
          <a:endParaRPr kumimoji="1" lang="en-US" altLang="ja-JP" sz="1100"/>
        </a:p>
        <a:p>
          <a:r>
            <a:rPr kumimoji="1" lang="ja-JP" altLang="en-US" sz="1100"/>
            <a:t>・中型車：大型車、小型車以外　　</a:t>
          </a:r>
          <a:endParaRPr kumimoji="1" lang="en-US" altLang="ja-JP" sz="1100"/>
        </a:p>
        <a:p>
          <a:r>
            <a:rPr kumimoji="1" lang="ja-JP" altLang="en-US" sz="1100"/>
            <a:t>・小型車：６ｍ以上８ｍ以下で、定員３３人以下（旧基準：７ｍ以下で旅客座席数２９人以下）</a:t>
          </a:r>
          <a:endParaRPr kumimoji="1" lang="en-US" altLang="ja-JP" sz="1100"/>
        </a:p>
        <a:p>
          <a:r>
            <a:rPr kumimoji="1" lang="ja-JP" altLang="en-US" sz="1100"/>
            <a:t>・コミューター車：６ｍ未満で、旅客座席数１４人以下</a:t>
          </a:r>
          <a:endParaRPr kumimoji="1" lang="en-US" altLang="ja-JP" sz="1100"/>
        </a:p>
        <a:p>
          <a:endParaRPr kumimoji="1" lang="en-US" altLang="ja-JP" sz="1100"/>
        </a:p>
        <a:p>
          <a:r>
            <a:rPr kumimoji="1" lang="ja-JP" altLang="en-US" sz="1100"/>
            <a:t>・走行時間とは、出庫から帰庫までの時間で回送時間も含みます。</a:t>
          </a:r>
          <a:endParaRPr kumimoji="1" lang="en-US" altLang="ja-JP" sz="1100"/>
        </a:p>
        <a:p>
          <a:r>
            <a:rPr kumimoji="1" lang="ja-JP" altLang="en-US" sz="1100"/>
            <a:t>・走行距離とは、出庫から帰庫までの距離で回送距離も含みます。 </a:t>
          </a:r>
        </a:p>
        <a:p>
          <a:r>
            <a:rPr kumimoji="1" lang="ja-JP" altLang="en-US" sz="1100"/>
            <a:t>・宿泊を伴う場合の出庫時間、帰庫時間とは宿泊場所出発時間あるいは宿泊場所到着時間です。</a:t>
          </a:r>
        </a:p>
        <a:p>
          <a:r>
            <a:rPr kumimoji="1" lang="ja-JP" altLang="en-US" sz="1100"/>
            <a:t>・走行時間が３時間未満の場合は３時間となります。 </a:t>
          </a:r>
        </a:p>
        <a:p>
          <a:r>
            <a:rPr kumimoji="1" lang="ja-JP" altLang="en-US" sz="1100"/>
            <a:t>・１日ごとに出庫前</a:t>
          </a:r>
          <a:r>
            <a:rPr kumimoji="1" lang="en-US" altLang="ja-JP" sz="1100"/>
            <a:t>1</a:t>
          </a:r>
          <a:r>
            <a:rPr kumimoji="1" lang="ja-JP" altLang="en-US" sz="1100"/>
            <a:t>時間と帰庫後</a:t>
          </a:r>
          <a:r>
            <a:rPr kumimoji="1" lang="en-US" altLang="ja-JP" sz="1100"/>
            <a:t>1</a:t>
          </a:r>
          <a:r>
            <a:rPr kumimoji="1" lang="ja-JP" altLang="en-US" sz="1100"/>
            <a:t>時間の点呼点検時間計２時間が加算されます。 </a:t>
          </a:r>
          <a:endParaRPr kumimoji="1" lang="en-US" altLang="ja-JP" sz="1100"/>
        </a:p>
        <a:p>
          <a:r>
            <a:rPr kumimoji="1" lang="ja-JP" altLang="en-US" sz="1100"/>
            <a:t>・フェリーボートを利用した場合の航送時間（乗船してから下船するまでの時間）は８時間が上限です。</a:t>
          </a:r>
        </a:p>
        <a:p>
          <a:r>
            <a:rPr kumimoji="1" lang="ja-JP" altLang="en-US" sz="1100"/>
            <a:t>・深夜早朝とは２２時～５時の間の運行時間・点呼点検時間です。</a:t>
          </a:r>
        </a:p>
        <a:p>
          <a:endParaRPr kumimoji="1" lang="en-US" altLang="ja-JP" sz="1100"/>
        </a:p>
        <a:p>
          <a:r>
            <a:rPr kumimoji="1" lang="ja-JP" altLang="en-US" sz="1100" b="1"/>
            <a:t>＜運賃の割引＞</a:t>
          </a:r>
          <a:endParaRPr kumimoji="1" lang="en-US" altLang="ja-JP" sz="1100" b="1"/>
        </a:p>
        <a:p>
          <a:r>
            <a:rPr kumimoji="1" lang="ja-JP" altLang="en-US" sz="1100"/>
            <a:t>・身体障害者福祉法、知的障害者福祉法及び児童福祉法の適用を受ける者の団体</a:t>
          </a:r>
          <a:endParaRPr kumimoji="1" lang="en-US" altLang="ja-JP" sz="1100"/>
        </a:p>
        <a:p>
          <a:r>
            <a:rPr kumimoji="1" lang="ja-JP" altLang="en-US" sz="1100"/>
            <a:t>・学校教育法による学校（大学及び高等専門学校を除く）に通学又は通園する者の団体</a:t>
          </a:r>
        </a:p>
        <a:p>
          <a:r>
            <a:rPr kumimoji="1" lang="ja-JP" altLang="en-US" sz="1100"/>
            <a:t>・２以上の割引条件に該当する場合はいずれか高い率を適用し、重複して割引をしません。 </a:t>
          </a:r>
        </a:p>
        <a:p>
          <a:r>
            <a:rPr kumimoji="1" lang="ja-JP" altLang="en-US" sz="1100"/>
            <a:t>・割引後の運賃は、届け出た下限額が限度です。</a:t>
          </a:r>
        </a:p>
        <a:p>
          <a:endParaRPr kumimoji="1" lang="en-US" altLang="ja-JP" sz="1100"/>
        </a:p>
        <a:p>
          <a:r>
            <a:rPr kumimoji="1" lang="ja-JP" altLang="en-US" sz="1100" b="1"/>
            <a:t>＜深夜早朝料金＞</a:t>
          </a:r>
          <a:endParaRPr kumimoji="1" lang="en-US" altLang="ja-JP" sz="1100" b="1"/>
        </a:p>
        <a:p>
          <a:r>
            <a:rPr kumimoji="1" lang="ja-JP" altLang="en-US" sz="1100"/>
            <a:t>・２２時以降翌朝５時までの間に点呼点検時間及び走行時間が含まれた場合に、１時間あたりの運賃及び交替運転者配置料金の</a:t>
          </a:r>
          <a:r>
            <a:rPr kumimoji="1" lang="en-US" altLang="ja-JP" sz="1100"/>
            <a:t>2</a:t>
          </a:r>
          <a:r>
            <a:rPr kumimoji="1" lang="ja-JP" altLang="en-US" sz="1100"/>
            <a:t>割の割増が適用されます。</a:t>
          </a:r>
          <a:endParaRPr kumimoji="1" lang="en-US" altLang="ja-JP" sz="1100"/>
        </a:p>
        <a:p>
          <a:endParaRPr kumimoji="1" lang="en-US" altLang="ja-JP" sz="1100"/>
        </a:p>
        <a:p>
          <a:r>
            <a:rPr kumimoji="1" lang="ja-JP" altLang="en-US" sz="1100" b="1"/>
            <a:t>＜特殊車両料金＞</a:t>
          </a:r>
          <a:endParaRPr kumimoji="1" lang="en-US" altLang="ja-JP" sz="1100" b="1"/>
        </a:p>
        <a:p>
          <a:r>
            <a:rPr kumimoji="1" lang="ja-JP" altLang="en-US" sz="1100"/>
            <a:t>・次の条件を有する車両については、運賃の任意の割増を適用することができます。</a:t>
          </a:r>
          <a:endParaRPr kumimoji="1" lang="en-US" altLang="ja-JP" sz="1100"/>
        </a:p>
        <a:p>
          <a:r>
            <a:rPr kumimoji="1" lang="ja-JP" altLang="en-US" sz="1100"/>
            <a:t>①標準的な装備を超える特殊な設備を有する車両</a:t>
          </a:r>
          <a:endParaRPr kumimoji="1" lang="en-US" altLang="ja-JP" sz="1100"/>
        </a:p>
        <a:p>
          <a:r>
            <a:rPr kumimoji="1" lang="ja-JP" altLang="en-US" sz="1100"/>
            <a:t>②車両購入価格を座席定員で除した単価が標準的な車両の単価より７０％以上高額である車両</a:t>
          </a:r>
          <a:endParaRPr kumimoji="1" lang="en-US" altLang="ja-JP" sz="1100"/>
        </a:p>
        <a:p>
          <a:endParaRPr kumimoji="1" lang="en-US" altLang="ja-JP" sz="1100" b="1"/>
        </a:p>
        <a:p>
          <a:r>
            <a:rPr kumimoji="1" lang="ja-JP" altLang="en-US" sz="1100" b="1"/>
            <a:t>＜交代運転者配置料金＞</a:t>
          </a:r>
          <a:endParaRPr kumimoji="1" lang="en-US" altLang="ja-JP" sz="1100" b="1"/>
        </a:p>
        <a:p>
          <a:r>
            <a:rPr kumimoji="1" lang="ja-JP" altLang="en-US" sz="1100"/>
            <a:t>・法令により運転者の交替が義務つけられる場合、交替運転者の配置について事業者と申込者が合意した場合に適用されます。</a:t>
          </a:r>
          <a:endParaRPr kumimoji="1" lang="en-US" altLang="ja-JP" sz="1100"/>
        </a:p>
        <a:p>
          <a:r>
            <a:rPr kumimoji="1" lang="ja-JP" altLang="en-US" sz="1100"/>
            <a:t>　なお、交替運転者が交替地点まで車両に同乗しない場合であっても、同乗したものとして料金を適用するものとします。</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消費税の扱い</a:t>
          </a:r>
          <a:r>
            <a:rPr kumimoji="1" lang="ja-JP" altLang="ja-JP" sz="1100" b="1">
              <a:solidFill>
                <a:schemeClr val="dk1"/>
              </a:solidFill>
              <a:effectLst/>
              <a:latin typeface="+mn-lt"/>
              <a:ea typeface="+mn-ea"/>
              <a:cs typeface="+mn-cs"/>
            </a:rPr>
            <a:t>＞</a:t>
          </a:r>
          <a:endParaRPr kumimoji="1" lang="en-US" altLang="ja-JP"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公示運賃・料金は消費税を含んでません。各運賃・料金の計算において消費税を別途加算します。</a:t>
          </a:r>
          <a:endParaRPr lang="ja-JP" altLang="ja-JP" sz="1100">
            <a:effectLst/>
          </a:endParaRPr>
        </a:p>
        <a:p>
          <a:endParaRPr kumimoji="1" lang="en-US" altLang="ja-JP" sz="1100"/>
        </a:p>
        <a:p>
          <a:pPr eaLnBrk="1" fontAlgn="auto" latinLnBrk="0" hangingPunct="1"/>
          <a:r>
            <a:rPr kumimoji="1" lang="ja-JP"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更新履歴</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ver.1.0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28</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8</a:t>
          </a:r>
          <a:r>
            <a:rPr kumimoji="1" lang="ja-JP" altLang="en-US" sz="1100">
              <a:solidFill>
                <a:sysClr val="windowText" lastClr="000000"/>
              </a:solidFill>
              <a:effectLst/>
              <a:latin typeface="+mn-lt"/>
              <a:ea typeface="+mn-ea"/>
              <a:cs typeface="+mn-cs"/>
            </a:rPr>
            <a:t>月　リリースを開始しました。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ver.2.0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30</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5</a:t>
          </a:r>
          <a:r>
            <a:rPr kumimoji="1" lang="ja-JP" altLang="en-US" sz="1100">
              <a:solidFill>
                <a:sysClr val="windowText" lastClr="000000"/>
              </a:solidFill>
              <a:effectLst/>
              <a:latin typeface="+mn-lt"/>
              <a:ea typeface="+mn-ea"/>
              <a:cs typeface="+mn-cs"/>
            </a:rPr>
            <a:t>月　深夜早朝料金及び特殊車両料金の下限割増率を</a:t>
          </a:r>
          <a:r>
            <a:rPr kumimoji="1" lang="en-US" altLang="ja-JP" sz="1100">
              <a:solidFill>
                <a:sysClr val="windowText" lastClr="000000"/>
              </a:solidFill>
              <a:effectLst/>
              <a:latin typeface="+mn-lt"/>
              <a:ea typeface="+mn-ea"/>
              <a:cs typeface="+mn-cs"/>
            </a:rPr>
            <a:t>0</a:t>
          </a:r>
          <a:r>
            <a:rPr kumimoji="1" lang="ja-JP" altLang="en-US" sz="1100">
              <a:solidFill>
                <a:sysClr val="windowText" lastClr="000000"/>
              </a:solidFill>
              <a:effectLst/>
              <a:latin typeface="+mn-lt"/>
              <a:ea typeface="+mn-ea"/>
              <a:cs typeface="+mn-cs"/>
            </a:rPr>
            <a:t>％から</a:t>
          </a:r>
          <a:r>
            <a:rPr kumimoji="1" lang="en-US" altLang="ja-JP" sz="1100">
              <a:solidFill>
                <a:sysClr val="windowText" lastClr="000000"/>
              </a:solidFill>
              <a:effectLst/>
              <a:latin typeface="+mn-lt"/>
              <a:ea typeface="+mn-ea"/>
              <a:cs typeface="+mn-cs"/>
            </a:rPr>
            <a:t>1</a:t>
          </a:r>
          <a:r>
            <a:rPr kumimoji="1" lang="ja-JP" altLang="en-US" sz="1100">
              <a:solidFill>
                <a:sysClr val="windowText" lastClr="000000"/>
              </a:solidFill>
              <a:effectLst/>
              <a:latin typeface="+mn-lt"/>
              <a:ea typeface="+mn-ea"/>
              <a:cs typeface="+mn-cs"/>
            </a:rPr>
            <a:t>％に変更しました。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ver.3.0</a:t>
          </a:r>
          <a:r>
            <a:rPr kumimoji="1" lang="ja-JP" altLang="en-US" sz="1100" baseline="0">
              <a:solidFill>
                <a:sysClr val="windowText" lastClr="000000"/>
              </a:solidFill>
              <a:effectLst/>
              <a:latin typeface="+mn-lt"/>
              <a:ea typeface="+mn-ea"/>
              <a:cs typeface="+mn-cs"/>
            </a:rPr>
            <a:t> 平成</a:t>
          </a:r>
          <a:r>
            <a:rPr kumimoji="1" lang="en-US" altLang="ja-JP" sz="1100" baseline="0">
              <a:solidFill>
                <a:sysClr val="windowText" lastClr="000000"/>
              </a:solidFill>
              <a:effectLst/>
              <a:latin typeface="+mn-lt"/>
              <a:ea typeface="+mn-ea"/>
              <a:cs typeface="+mn-cs"/>
            </a:rPr>
            <a:t>30</a:t>
          </a:r>
          <a:r>
            <a:rPr kumimoji="1" lang="ja-JP" altLang="en-US" sz="1100" baseline="0">
              <a:solidFill>
                <a:sysClr val="windowText" lastClr="000000"/>
              </a:solidFill>
              <a:effectLst/>
              <a:latin typeface="+mn-lt"/>
              <a:ea typeface="+mn-ea"/>
              <a:cs typeface="+mn-cs"/>
            </a:rPr>
            <a:t>年</a:t>
          </a:r>
          <a:r>
            <a:rPr kumimoji="1" lang="en-US" altLang="ja-JP" sz="1100" baseline="0">
              <a:solidFill>
                <a:sysClr val="windowText" lastClr="000000"/>
              </a:solidFill>
              <a:effectLst/>
              <a:latin typeface="+mn-lt"/>
              <a:ea typeface="+mn-ea"/>
              <a:cs typeface="+mn-cs"/>
            </a:rPr>
            <a:t>7</a:t>
          </a:r>
          <a:r>
            <a:rPr kumimoji="1" lang="ja-JP" altLang="en-US" sz="1100" baseline="0">
              <a:solidFill>
                <a:sysClr val="windowText" lastClr="000000"/>
              </a:solidFill>
              <a:effectLst/>
              <a:latin typeface="+mn-lt"/>
              <a:ea typeface="+mn-ea"/>
              <a:cs typeface="+mn-cs"/>
            </a:rPr>
            <a:t>月　運行日数を最大</a:t>
          </a:r>
          <a:r>
            <a:rPr kumimoji="1" lang="en-US" altLang="ja-JP" sz="1100" baseline="0">
              <a:solidFill>
                <a:sysClr val="windowText" lastClr="000000"/>
              </a:solidFill>
              <a:effectLst/>
              <a:latin typeface="+mn-lt"/>
              <a:ea typeface="+mn-ea"/>
              <a:cs typeface="+mn-cs"/>
            </a:rPr>
            <a:t>3</a:t>
          </a:r>
          <a:r>
            <a:rPr kumimoji="1" lang="ja-JP" altLang="en-US" sz="1100" baseline="0">
              <a:solidFill>
                <a:sysClr val="windowText" lastClr="000000"/>
              </a:solidFill>
              <a:effectLst/>
              <a:latin typeface="+mn-lt"/>
              <a:ea typeface="+mn-ea"/>
              <a:cs typeface="+mn-cs"/>
            </a:rPr>
            <a:t>日間から最大</a:t>
          </a:r>
          <a:r>
            <a:rPr kumimoji="1" lang="en-US" altLang="ja-JP" sz="1100" baseline="0">
              <a:solidFill>
                <a:sysClr val="windowText" lastClr="000000"/>
              </a:solidFill>
              <a:effectLst/>
              <a:latin typeface="+mn-lt"/>
              <a:ea typeface="+mn-ea"/>
              <a:cs typeface="+mn-cs"/>
            </a:rPr>
            <a:t>10</a:t>
          </a:r>
          <a:r>
            <a:rPr kumimoji="1" lang="ja-JP" altLang="en-US" sz="1100" baseline="0">
              <a:solidFill>
                <a:sysClr val="windowText" lastClr="000000"/>
              </a:solidFill>
              <a:effectLst/>
              <a:latin typeface="+mn-lt"/>
              <a:ea typeface="+mn-ea"/>
              <a:cs typeface="+mn-cs"/>
            </a:rPr>
            <a:t>日間まで合算できるようにしました。</a:t>
          </a:r>
          <a:endParaRPr kumimoji="1" lang="en-US" altLang="ja-JP"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ver.4.0</a:t>
          </a:r>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令和元</a:t>
          </a:r>
          <a:r>
            <a:rPr kumimoji="1" lang="ja-JP" altLang="ja-JP" sz="1100" baseline="0">
              <a:solidFill>
                <a:schemeClr val="dk1"/>
              </a:solidFill>
              <a:effectLst/>
              <a:latin typeface="+mn-lt"/>
              <a:ea typeface="+mn-ea"/>
              <a:cs typeface="+mn-cs"/>
            </a:rPr>
            <a:t>年</a:t>
          </a:r>
          <a:r>
            <a:rPr kumimoji="1" lang="en-US" altLang="ja-JP" sz="1100" baseline="0">
              <a:solidFill>
                <a:schemeClr val="dk1"/>
              </a:solidFill>
              <a:effectLst/>
              <a:latin typeface="+mn-lt"/>
              <a:ea typeface="+mn-ea"/>
              <a:cs typeface="+mn-cs"/>
            </a:rPr>
            <a:t>10</a:t>
          </a:r>
          <a:r>
            <a:rPr kumimoji="1" lang="ja-JP" altLang="ja-JP" sz="1100" baseline="0">
              <a:solidFill>
                <a:schemeClr val="dk1"/>
              </a:solidFill>
              <a:effectLst/>
              <a:latin typeface="+mn-lt"/>
              <a:ea typeface="+mn-ea"/>
              <a:cs typeface="+mn-cs"/>
            </a:rPr>
            <a:t>月　</a:t>
          </a:r>
          <a:r>
            <a:rPr kumimoji="1" lang="ja-JP" altLang="en-US" sz="1100" baseline="0">
              <a:solidFill>
                <a:schemeClr val="dk1"/>
              </a:solidFill>
              <a:effectLst/>
              <a:latin typeface="+mn-lt"/>
              <a:ea typeface="+mn-ea"/>
              <a:cs typeface="+mn-cs"/>
            </a:rPr>
            <a:t>令和元年１０月１日からの消費税率引上げを反映</a:t>
          </a:r>
          <a:r>
            <a:rPr kumimoji="1" lang="ja-JP" altLang="ja-JP" sz="1100" baseline="0">
              <a:solidFill>
                <a:schemeClr val="dk1"/>
              </a:solidFill>
              <a:effectLst/>
              <a:latin typeface="+mn-lt"/>
              <a:ea typeface="+mn-ea"/>
              <a:cs typeface="+mn-cs"/>
            </a:rPr>
            <a:t>しました。</a:t>
          </a: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lang="en-US" altLang="ja-JP">
              <a:effectLst/>
            </a:rPr>
            <a:t>ver.5.0</a:t>
          </a:r>
          <a:r>
            <a:rPr lang="en-US" altLang="ja-JP" baseline="0">
              <a:effectLst/>
            </a:rPr>
            <a:t> </a:t>
          </a:r>
          <a:r>
            <a:rPr lang="ja-JP" altLang="en-US" baseline="0">
              <a:effectLst/>
            </a:rPr>
            <a:t>令和</a:t>
          </a:r>
          <a:r>
            <a:rPr lang="en-US" altLang="ja-JP" baseline="0">
              <a:effectLst/>
            </a:rPr>
            <a:t>5</a:t>
          </a:r>
          <a:r>
            <a:rPr lang="ja-JP" altLang="en-US" baseline="0">
              <a:effectLst/>
            </a:rPr>
            <a:t>年</a:t>
          </a:r>
          <a:r>
            <a:rPr lang="en-US" altLang="ja-JP" baseline="0">
              <a:effectLst/>
            </a:rPr>
            <a:t>9</a:t>
          </a:r>
          <a:r>
            <a:rPr lang="ja-JP" altLang="en-US" baseline="0">
              <a:effectLst/>
            </a:rPr>
            <a:t>月　　公示運賃・料金の改定等に伴い、修正しました。</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ver.6.0</a:t>
          </a:r>
          <a:r>
            <a:rPr lang="en-US" altLang="ja-JP" sz="1100" baseline="0">
              <a:solidFill>
                <a:schemeClr val="dk1"/>
              </a:solidFill>
              <a:effectLst/>
              <a:latin typeface="+mn-lt"/>
              <a:ea typeface="+mn-ea"/>
              <a:cs typeface="+mn-cs"/>
            </a:rPr>
            <a:t> </a:t>
          </a:r>
          <a:r>
            <a:rPr lang="ja-JP" altLang="ja-JP" sz="1100" baseline="0">
              <a:solidFill>
                <a:schemeClr val="dk1"/>
              </a:solidFill>
              <a:effectLst/>
              <a:latin typeface="+mn-lt"/>
              <a:ea typeface="+mn-ea"/>
              <a:cs typeface="+mn-cs"/>
            </a:rPr>
            <a:t>令和</a:t>
          </a:r>
          <a:r>
            <a:rPr lang="en-US" altLang="ja-JP" sz="1100" baseline="0">
              <a:solidFill>
                <a:schemeClr val="dk1"/>
              </a:solidFill>
              <a:effectLst/>
              <a:latin typeface="+mn-lt"/>
              <a:ea typeface="+mn-ea"/>
              <a:cs typeface="+mn-cs"/>
            </a:rPr>
            <a:t>6</a:t>
          </a:r>
          <a:r>
            <a:rPr lang="ja-JP" altLang="ja-JP" sz="1100" baseline="0">
              <a:solidFill>
                <a:schemeClr val="dk1"/>
              </a:solidFill>
              <a:effectLst/>
              <a:latin typeface="+mn-lt"/>
              <a:ea typeface="+mn-ea"/>
              <a:cs typeface="+mn-cs"/>
            </a:rPr>
            <a:t>年</a:t>
          </a:r>
          <a:r>
            <a:rPr lang="en-US" altLang="ja-JP" sz="1100" baseline="0">
              <a:solidFill>
                <a:schemeClr val="dk1"/>
              </a:solidFill>
              <a:effectLst/>
              <a:latin typeface="+mn-lt"/>
              <a:ea typeface="+mn-ea"/>
              <a:cs typeface="+mn-cs"/>
            </a:rPr>
            <a:t>3</a:t>
          </a:r>
          <a:r>
            <a:rPr lang="ja-JP" altLang="ja-JP" sz="1100" baseline="0">
              <a:solidFill>
                <a:schemeClr val="dk1"/>
              </a:solidFill>
              <a:effectLst/>
              <a:latin typeface="+mn-lt"/>
              <a:ea typeface="+mn-ea"/>
              <a:cs typeface="+mn-cs"/>
            </a:rPr>
            <a:t>月　　公示運賃・料金の改定等に伴い、修正しました。</a:t>
          </a:r>
          <a:endParaRPr lang="ja-JP" altLang="ja-JP">
            <a:effectLst/>
          </a:endParaRPr>
        </a:p>
        <a:p>
          <a:pPr eaLnBrk="1" fontAlgn="auto" latinLnBrk="0" hangingPunct="1"/>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176212</xdr:colOff>
      <xdr:row>4</xdr:row>
      <xdr:rowOff>131762</xdr:rowOff>
    </xdr:from>
    <xdr:to>
      <xdr:col>9</xdr:col>
      <xdr:colOff>100012</xdr:colOff>
      <xdr:row>6</xdr:row>
      <xdr:rowOff>14287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903412" y="461962"/>
          <a:ext cx="6858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10</xdr:col>
      <xdr:colOff>201612</xdr:colOff>
      <xdr:row>4</xdr:row>
      <xdr:rowOff>127000</xdr:rowOff>
    </xdr:from>
    <xdr:to>
      <xdr:col>13</xdr:col>
      <xdr:colOff>52387</xdr:colOff>
      <xdr:row>6</xdr:row>
      <xdr:rowOff>9525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970212" y="457200"/>
          <a:ext cx="6889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14</xdr:col>
      <xdr:colOff>155575</xdr:colOff>
      <xdr:row>4</xdr:row>
      <xdr:rowOff>127000</xdr:rowOff>
    </xdr:from>
    <xdr:to>
      <xdr:col>18</xdr:col>
      <xdr:colOff>70556</xdr:colOff>
      <xdr:row>6</xdr:row>
      <xdr:rowOff>9525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697464" y="1016000"/>
          <a:ext cx="846314" cy="334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小型①</a:t>
          </a:r>
        </a:p>
      </xdr:txBody>
    </xdr:sp>
    <xdr:clientData/>
  </xdr:twoCellAnchor>
  <xdr:twoCellAnchor>
    <xdr:from>
      <xdr:col>19</xdr:col>
      <xdr:colOff>69665</xdr:colOff>
      <xdr:row>4</xdr:row>
      <xdr:rowOff>127001</xdr:rowOff>
    </xdr:from>
    <xdr:to>
      <xdr:col>22</xdr:col>
      <xdr:colOff>145677</xdr:colOff>
      <xdr:row>6</xdr:row>
      <xdr:rowOff>9526</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325224" y="1023472"/>
          <a:ext cx="905247" cy="341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小型②</a:t>
          </a:r>
        </a:p>
      </xdr:txBody>
    </xdr:sp>
    <xdr:clientData/>
  </xdr:twoCellAnchor>
  <xdr:twoCellAnchor>
    <xdr:from>
      <xdr:col>23</xdr:col>
      <xdr:colOff>263586</xdr:colOff>
      <xdr:row>4</xdr:row>
      <xdr:rowOff>126998</xdr:rowOff>
    </xdr:from>
    <xdr:to>
      <xdr:col>29</xdr:col>
      <xdr:colOff>232833</xdr:colOff>
      <xdr:row>6</xdr:row>
      <xdr:rowOff>9523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560669" y="1005415"/>
          <a:ext cx="1355664" cy="348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114300</xdr:colOff>
      <xdr:row>4</xdr:row>
      <xdr:rowOff>122768</xdr:rowOff>
    </xdr:from>
    <xdr:to>
      <xdr:col>30</xdr:col>
      <xdr:colOff>84666</xdr:colOff>
      <xdr:row>5</xdr:row>
      <xdr:rowOff>295276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728133" y="1001185"/>
          <a:ext cx="7315200" cy="341841"/>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87313</xdr:colOff>
      <xdr:row>40</xdr:row>
      <xdr:rowOff>100012</xdr:rowOff>
    </xdr:from>
    <xdr:to>
      <xdr:col>12</xdr:col>
      <xdr:colOff>228601</xdr:colOff>
      <xdr:row>42</xdr:row>
      <xdr:rowOff>166687</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554288" y="4281487"/>
          <a:ext cx="969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b="1"/>
        </a:p>
      </xdr:txBody>
    </xdr:sp>
    <xdr:clientData/>
  </xdr:twoCellAnchor>
  <xdr:twoCellAnchor>
    <xdr:from>
      <xdr:col>35</xdr:col>
      <xdr:colOff>76200</xdr:colOff>
      <xdr:row>9</xdr:row>
      <xdr:rowOff>85725</xdr:rowOff>
    </xdr:from>
    <xdr:to>
      <xdr:col>45</xdr:col>
      <xdr:colOff>123823</xdr:colOff>
      <xdr:row>11</xdr:row>
      <xdr:rowOff>137583</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146117" y="1747308"/>
          <a:ext cx="2333623" cy="53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該当があれば入力してください</a:t>
          </a:r>
          <a:endParaRPr kumimoji="1" lang="en-US" altLang="ja-JP" sz="1100" b="1">
            <a:solidFill>
              <a:srgbClr val="FF0000"/>
            </a:solidFill>
          </a:endParaRPr>
        </a:p>
        <a:p>
          <a:r>
            <a:rPr kumimoji="1" lang="ja-JP" altLang="en-US" sz="1100" b="1">
              <a:solidFill>
                <a:srgbClr val="FF0000"/>
              </a:solidFill>
            </a:rPr>
            <a:t>　　　　　　　　↓</a:t>
          </a:r>
        </a:p>
      </xdr:txBody>
    </xdr:sp>
    <xdr:clientData/>
  </xdr:twoCellAnchor>
  <xdr:twoCellAnchor>
    <xdr:from>
      <xdr:col>1</xdr:col>
      <xdr:colOff>114784</xdr:colOff>
      <xdr:row>37</xdr:row>
      <xdr:rowOff>57653</xdr:rowOff>
    </xdr:from>
    <xdr:to>
      <xdr:col>11</xdr:col>
      <xdr:colOff>66655</xdr:colOff>
      <xdr:row>43</xdr:row>
      <xdr:rowOff>152903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97006" y="7924597"/>
          <a:ext cx="2449538" cy="906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走行距離を入力してください→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5</xdr:row>
          <xdr:rowOff>38100</xdr:rowOff>
        </xdr:from>
        <xdr:to>
          <xdr:col>8</xdr:col>
          <xdr:colOff>180975</xdr:colOff>
          <xdr:row>5</xdr:row>
          <xdr:rowOff>209550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28575</xdr:rowOff>
        </xdr:from>
        <xdr:to>
          <xdr:col>12</xdr:col>
          <xdr:colOff>161925</xdr:colOff>
          <xdr:row>5</xdr:row>
          <xdr:rowOff>209550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27</xdr:col>
          <xdr:colOff>95250</xdr:colOff>
          <xdr:row>6</xdr:row>
          <xdr:rowOff>76200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123825</xdr:rowOff>
        </xdr:from>
        <xdr:to>
          <xdr:col>23</xdr:col>
          <xdr:colOff>133350</xdr:colOff>
          <xdr:row>43</xdr:row>
          <xdr:rowOff>133350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xdr:row>
          <xdr:rowOff>38100</xdr:rowOff>
        </xdr:from>
        <xdr:to>
          <xdr:col>16</xdr:col>
          <xdr:colOff>190500</xdr:colOff>
          <xdr:row>5</xdr:row>
          <xdr:rowOff>209550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95250</xdr:rowOff>
        </xdr:from>
        <xdr:to>
          <xdr:col>29</xdr:col>
          <xdr:colOff>38100</xdr:colOff>
          <xdr:row>6</xdr:row>
          <xdr:rowOff>66675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19050</xdr:colOff>
          <xdr:row>86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100</xdr:row>
          <xdr:rowOff>114300</xdr:rowOff>
        </xdr:from>
        <xdr:to>
          <xdr:col>4</xdr:col>
          <xdr:colOff>47625</xdr:colOff>
          <xdr:row>102</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28575</xdr:colOff>
          <xdr:row>86</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xdr:row>
          <xdr:rowOff>133350</xdr:rowOff>
        </xdr:from>
        <xdr:to>
          <xdr:col>9</xdr:col>
          <xdr:colOff>95250</xdr:colOff>
          <xdr:row>4</xdr:row>
          <xdr:rowOff>9525</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5</xdr:row>
          <xdr:rowOff>38100</xdr:rowOff>
        </xdr:from>
        <xdr:to>
          <xdr:col>21</xdr:col>
          <xdr:colOff>47625</xdr:colOff>
          <xdr:row>5</xdr:row>
          <xdr:rowOff>209550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123825</xdr:colOff>
          <xdr:row>5</xdr:row>
          <xdr:rowOff>38100</xdr:rowOff>
        </xdr:from>
        <xdr:to>
          <xdr:col>26</xdr:col>
          <xdr:colOff>19050</xdr:colOff>
          <xdr:row>5</xdr:row>
          <xdr:rowOff>209550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214312</xdr:colOff>
      <xdr:row>4</xdr:row>
      <xdr:rowOff>282649</xdr:rowOff>
    </xdr:from>
    <xdr:to>
      <xdr:col>9</xdr:col>
      <xdr:colOff>138112</xdr:colOff>
      <xdr:row>6</xdr:row>
      <xdr:rowOff>10584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28812" y="1161066"/>
          <a:ext cx="685800" cy="352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10</xdr:col>
      <xdr:colOff>239712</xdr:colOff>
      <xdr:row>4</xdr:row>
      <xdr:rowOff>275469</xdr:rowOff>
    </xdr:from>
    <xdr:to>
      <xdr:col>13</xdr:col>
      <xdr:colOff>90487</xdr:colOff>
      <xdr:row>5</xdr:row>
      <xdr:rowOff>274576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991379" y="1153886"/>
          <a:ext cx="676275" cy="327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14</xdr:col>
      <xdr:colOff>193674</xdr:colOff>
      <xdr:row>4</xdr:row>
      <xdr:rowOff>275469</xdr:rowOff>
    </xdr:from>
    <xdr:to>
      <xdr:col>18</xdr:col>
      <xdr:colOff>179915</xdr:colOff>
      <xdr:row>5</xdr:row>
      <xdr:rowOff>274576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046007" y="1153886"/>
          <a:ext cx="885825" cy="327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小型①</a:t>
          </a:r>
        </a:p>
      </xdr:txBody>
    </xdr:sp>
    <xdr:clientData/>
  </xdr:twoCellAnchor>
  <xdr:twoCellAnchor>
    <xdr:from>
      <xdr:col>19</xdr:col>
      <xdr:colOff>190645</xdr:colOff>
      <xdr:row>4</xdr:row>
      <xdr:rowOff>261861</xdr:rowOff>
    </xdr:from>
    <xdr:to>
      <xdr:col>23</xdr:col>
      <xdr:colOff>84666</xdr:colOff>
      <xdr:row>5</xdr:row>
      <xdr:rowOff>272747</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5249478" y="1140278"/>
          <a:ext cx="888855" cy="338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小型②</a:t>
          </a:r>
        </a:p>
      </xdr:txBody>
    </xdr:sp>
    <xdr:clientData/>
  </xdr:twoCellAnchor>
  <xdr:twoCellAnchor>
    <xdr:from>
      <xdr:col>25</xdr:col>
      <xdr:colOff>2269</xdr:colOff>
      <xdr:row>4</xdr:row>
      <xdr:rowOff>264583</xdr:rowOff>
    </xdr:from>
    <xdr:to>
      <xdr:col>31</xdr:col>
      <xdr:colOff>155221</xdr:colOff>
      <xdr:row>5</xdr:row>
      <xdr:rowOff>275469</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935991" y="1153583"/>
          <a:ext cx="1352397" cy="335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114299</xdr:colOff>
      <xdr:row>4</xdr:row>
      <xdr:rowOff>258536</xdr:rowOff>
    </xdr:from>
    <xdr:to>
      <xdr:col>32</xdr:col>
      <xdr:colOff>42332</xdr:colOff>
      <xdr:row>6</xdr:row>
      <xdr:rowOff>10584</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28132" y="1136953"/>
          <a:ext cx="7304617" cy="376464"/>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29</xdr:col>
          <xdr:colOff>66675</xdr:colOff>
          <xdr:row>5</xdr:row>
          <xdr:rowOff>200025</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123825</xdr:rowOff>
        </xdr:from>
        <xdr:to>
          <xdr:col>25</xdr:col>
          <xdr:colOff>19050</xdr:colOff>
          <xdr:row>44</xdr:row>
          <xdr:rowOff>9525</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95250</xdr:rowOff>
        </xdr:from>
        <xdr:to>
          <xdr:col>30</xdr:col>
          <xdr:colOff>95250</xdr:colOff>
          <xdr:row>5</xdr:row>
          <xdr:rowOff>190500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72</xdr:row>
          <xdr:rowOff>38100</xdr:rowOff>
        </xdr:from>
        <xdr:to>
          <xdr:col>4</xdr:col>
          <xdr:colOff>114300</xdr:colOff>
          <xdr:row>73</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85</xdr:row>
          <xdr:rowOff>0</xdr:rowOff>
        </xdr:from>
        <xdr:to>
          <xdr:col>4</xdr:col>
          <xdr:colOff>114300</xdr:colOff>
          <xdr:row>86</xdr:row>
          <xdr:rowOff>85725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142875</xdr:rowOff>
        </xdr:from>
        <xdr:to>
          <xdr:col>9</xdr:col>
          <xdr:colOff>133350</xdr:colOff>
          <xdr:row>4</xdr:row>
          <xdr:rowOff>19050</xdr:rowOff>
        </xdr:to>
        <xdr:sp macro="" textlink="">
          <xdr:nvSpPr>
            <xdr:cNvPr id="5126" name="Drop Dow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19050</xdr:rowOff>
        </xdr:from>
        <xdr:to>
          <xdr:col>9</xdr:col>
          <xdr:colOff>104775</xdr:colOff>
          <xdr:row>5</xdr:row>
          <xdr:rowOff>190500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xdr:row>
          <xdr:rowOff>19050</xdr:rowOff>
        </xdr:from>
        <xdr:to>
          <xdr:col>13</xdr:col>
          <xdr:colOff>38100</xdr:colOff>
          <xdr:row>5</xdr:row>
          <xdr:rowOff>190500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xdr:row>
          <xdr:rowOff>19050</xdr:rowOff>
        </xdr:from>
        <xdr:to>
          <xdr:col>17</xdr:col>
          <xdr:colOff>133350</xdr:colOff>
          <xdr:row>5</xdr:row>
          <xdr:rowOff>190500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19050</xdr:rowOff>
        </xdr:from>
        <xdr:to>
          <xdr:col>22</xdr:col>
          <xdr:colOff>66675</xdr:colOff>
          <xdr:row>5</xdr:row>
          <xdr:rowOff>190500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5</xdr:row>
          <xdr:rowOff>19050</xdr:rowOff>
        </xdr:from>
        <xdr:to>
          <xdr:col>27</xdr:col>
          <xdr:colOff>161925</xdr:colOff>
          <xdr:row>5</xdr:row>
          <xdr:rowOff>190500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showRowColHeaders="0" view="pageBreakPreview" zoomScaleNormal="100" zoomScaleSheetLayoutView="100" workbookViewId="0">
      <selection activeCell="N67" sqref="N67"/>
    </sheetView>
  </sheetViews>
  <sheetFormatPr defaultRowHeight="13.5" x14ac:dyDescent="0.15"/>
  <sheetData/>
  <sheetProtection algorithmName="SHA-512" hashValue="Z1wdKzzXl2bdsgOG1Bup/t7iyTDvlFGip4QSQSbzdxwLuGEYwjEqDtzctKvW7t53YWgtRf0lioNGSguWPfe1BA==" saltValue="f49OJTrbf6WEA7IutxoR/w==" spinCount="100000" sheet="1" selectLockedCells="1" selectUnlockedCells="1"/>
  <phoneticPr fontId="2"/>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Q136"/>
  <sheetViews>
    <sheetView showGridLines="0" showRowColHeaders="0" view="pageBreakPreview" zoomScale="90" zoomScaleNormal="90" zoomScaleSheetLayoutView="90" workbookViewId="0">
      <selection activeCell="Q89" sqref="Q89:R89"/>
    </sheetView>
  </sheetViews>
  <sheetFormatPr defaultColWidth="0" defaultRowHeight="13.5" zeroHeight="1" x14ac:dyDescent="0.15"/>
  <cols>
    <col min="1" max="2" width="4" style="5" customWidth="1"/>
    <col min="3" max="7" width="3.625" style="5" customWidth="1"/>
    <col min="8" max="9" width="3.125" style="5" customWidth="1"/>
    <col min="10" max="15" width="3.625" style="5" customWidth="1"/>
    <col min="16" max="16" width="2.625" style="5" customWidth="1"/>
    <col min="17" max="17" width="3.375" style="5" customWidth="1"/>
    <col min="18" max="18" width="3.75" style="103" customWidth="1"/>
    <col min="19" max="20" width="4.5" style="5" customWidth="1"/>
    <col min="21" max="21" width="2.625" style="5" customWidth="1"/>
    <col min="22" max="23" width="3.625" style="5" customWidth="1"/>
    <col min="24" max="24" width="4.25" style="5" customWidth="1"/>
    <col min="25" max="25" width="2.375" style="5" customWidth="1"/>
    <col min="26" max="26" width="3.125" style="5" customWidth="1"/>
    <col min="27" max="27" width="3" style="5" customWidth="1"/>
    <col min="28" max="29" width="2.625" style="5" customWidth="1"/>
    <col min="30" max="30" width="3.625" style="5" customWidth="1"/>
    <col min="31" max="31" width="2.125" style="5" customWidth="1"/>
    <col min="32" max="33" width="2.625" style="5" customWidth="1"/>
    <col min="34" max="35" width="3.625" style="5" customWidth="1"/>
    <col min="36" max="38" width="3" style="5" customWidth="1"/>
    <col min="39" max="40" width="2.625" style="5" customWidth="1"/>
    <col min="41" max="42" width="2.75" style="5" customWidth="1"/>
    <col min="43" max="44" width="3.125" style="5" customWidth="1"/>
    <col min="45" max="45" width="3.625" style="5" customWidth="1"/>
    <col min="46" max="47" width="3.875" style="5" customWidth="1"/>
    <col min="48" max="48" width="3.875" style="8" customWidth="1"/>
    <col min="49" max="49" width="7" style="24" hidden="1" customWidth="1"/>
    <col min="50" max="50" width="9.25" style="24" hidden="1" customWidth="1"/>
    <col min="51" max="51" width="4" style="24" hidden="1" customWidth="1"/>
    <col min="52" max="53" width="3.875" style="24" hidden="1" customWidth="1"/>
    <col min="54" max="54" width="3.25" style="24" hidden="1" customWidth="1"/>
    <col min="55" max="55" width="3.875" style="24" hidden="1" customWidth="1"/>
    <col min="56" max="61" width="3.5" style="24" hidden="1" customWidth="1"/>
    <col min="62" max="62" width="9.875" style="24" hidden="1" customWidth="1"/>
    <col min="63" max="63" width="9.875" style="5" hidden="1" customWidth="1"/>
    <col min="64" max="64" width="11.875" style="5" hidden="1" customWidth="1"/>
    <col min="65" max="65" width="3.375" style="5" hidden="1" customWidth="1"/>
    <col min="66" max="66" width="8.75" style="5" hidden="1" customWidth="1"/>
    <col min="67" max="67" width="9" style="5" hidden="1" customWidth="1"/>
    <col min="68" max="68" width="7.625" style="5" hidden="1" customWidth="1"/>
    <col min="69" max="69" width="0" style="5" hidden="1" customWidth="1"/>
    <col min="70" max="16384" width="9" style="5" hidden="1"/>
  </cols>
  <sheetData>
    <row r="1" spans="2:69" ht="6.75" customHeight="1" thickBot="1" x14ac:dyDescent="0.2">
      <c r="D1" s="215" t="s">
        <v>92</v>
      </c>
      <c r="E1" s="215"/>
      <c r="F1" s="215"/>
      <c r="G1" s="215"/>
      <c r="H1" s="215"/>
      <c r="I1" s="215"/>
      <c r="J1" s="215"/>
      <c r="K1" s="215"/>
      <c r="L1" s="215"/>
      <c r="M1" s="215"/>
      <c r="N1" s="215"/>
      <c r="O1" s="215"/>
      <c r="P1" s="215"/>
      <c r="Q1" s="215"/>
      <c r="R1" s="215"/>
      <c r="S1" s="215"/>
      <c r="T1" s="215"/>
      <c r="U1" s="215"/>
      <c r="V1" s="215"/>
      <c r="W1" s="215"/>
      <c r="X1" s="215"/>
      <c r="Y1" s="215"/>
      <c r="Z1" s="215"/>
      <c r="AA1" s="215"/>
    </row>
    <row r="2" spans="2:69" ht="21" customHeight="1" thickBot="1" x14ac:dyDescent="0.2">
      <c r="D2" s="215"/>
      <c r="E2" s="215"/>
      <c r="F2" s="215"/>
      <c r="G2" s="215"/>
      <c r="H2" s="215"/>
      <c r="I2" s="215"/>
      <c r="J2" s="215"/>
      <c r="K2" s="215"/>
      <c r="L2" s="215"/>
      <c r="M2" s="215"/>
      <c r="N2" s="215"/>
      <c r="O2" s="215"/>
      <c r="P2" s="215"/>
      <c r="Q2" s="215"/>
      <c r="R2" s="215"/>
      <c r="S2" s="215"/>
      <c r="T2" s="215"/>
      <c r="U2" s="215"/>
      <c r="V2" s="215"/>
      <c r="W2" s="215"/>
      <c r="X2" s="215"/>
      <c r="Y2" s="215"/>
      <c r="Z2" s="215"/>
      <c r="AA2" s="215"/>
      <c r="AB2" s="25"/>
      <c r="AC2" s="26"/>
      <c r="AD2" s="27"/>
      <c r="AE2" s="28"/>
      <c r="AF2" s="102" t="s">
        <v>112</v>
      </c>
      <c r="AG2" s="29"/>
      <c r="AH2" s="29"/>
      <c r="AI2" s="29"/>
      <c r="AJ2" s="29"/>
      <c r="AK2" s="29"/>
      <c r="AL2" s="29"/>
      <c r="AM2" s="29"/>
      <c r="AN2" s="29"/>
      <c r="AO2" s="29"/>
      <c r="BE2" s="213"/>
      <c r="BF2" s="213"/>
      <c r="BG2" s="213"/>
      <c r="BH2" s="213"/>
      <c r="BI2" s="213"/>
      <c r="BJ2" s="213"/>
    </row>
    <row r="3" spans="2:69" ht="21" customHeight="1" x14ac:dyDescent="0.15">
      <c r="D3" s="114"/>
      <c r="E3" s="114"/>
      <c r="F3" s="114"/>
      <c r="G3" s="114"/>
      <c r="H3" s="114"/>
      <c r="I3" s="114"/>
      <c r="J3" s="114"/>
      <c r="K3" s="114"/>
      <c r="L3" s="114"/>
      <c r="M3" s="114"/>
      <c r="N3" s="114"/>
      <c r="O3" s="114"/>
      <c r="P3" s="114"/>
      <c r="Q3" s="114"/>
      <c r="R3" s="114"/>
      <c r="S3" s="114"/>
      <c r="T3" s="114"/>
      <c r="U3" s="114"/>
      <c r="V3" s="114"/>
      <c r="W3" s="114"/>
      <c r="X3" s="114"/>
      <c r="Y3" s="114"/>
      <c r="Z3" s="114"/>
      <c r="AA3" s="114"/>
      <c r="AB3" s="25"/>
      <c r="AC3" s="30"/>
      <c r="AD3" s="30"/>
      <c r="AE3" s="30"/>
      <c r="AF3" s="29"/>
      <c r="AG3" s="29"/>
      <c r="AH3" s="29"/>
      <c r="AI3" s="29"/>
      <c r="AJ3" s="29"/>
      <c r="AK3" s="29"/>
      <c r="AL3" s="29"/>
      <c r="AM3" s="29"/>
      <c r="AN3" s="29"/>
      <c r="AO3" s="29"/>
      <c r="BE3" s="162"/>
      <c r="BF3" s="162"/>
      <c r="BG3" s="162"/>
      <c r="BH3" s="162"/>
      <c r="BI3" s="162"/>
      <c r="BJ3" s="162"/>
    </row>
    <row r="4" spans="2:69" ht="21" customHeight="1" x14ac:dyDescent="0.15">
      <c r="C4" s="8"/>
      <c r="D4" s="114"/>
      <c r="E4" s="114"/>
      <c r="F4" s="114"/>
      <c r="G4" s="114"/>
      <c r="H4" s="114"/>
      <c r="I4" s="114"/>
      <c r="J4" s="114"/>
      <c r="K4" s="55" t="s">
        <v>91</v>
      </c>
      <c r="L4" s="114"/>
      <c r="N4" s="92"/>
      <c r="O4" s="92"/>
      <c r="Q4" s="92"/>
      <c r="R4" s="114"/>
      <c r="S4" s="114"/>
      <c r="T4" s="114"/>
      <c r="U4" s="114"/>
      <c r="V4" s="114"/>
      <c r="W4" s="93"/>
      <c r="X4" s="94"/>
      <c r="Y4" s="114"/>
      <c r="Z4" s="114"/>
      <c r="AA4" s="114"/>
      <c r="AB4" s="25"/>
      <c r="AC4" s="30"/>
      <c r="AD4" s="30"/>
      <c r="AE4" s="30"/>
      <c r="AF4" s="29"/>
      <c r="AG4" s="29"/>
      <c r="AH4" s="29"/>
      <c r="AI4" s="29"/>
      <c r="AJ4" s="29"/>
      <c r="AK4" s="29"/>
      <c r="AL4" s="29"/>
      <c r="AM4" s="29"/>
      <c r="AN4" s="29"/>
      <c r="AO4" s="29"/>
      <c r="AW4" s="24" t="str">
        <f>VLOOKUP($AW$5,$AW$14:$AX$37,2,FALSE)</f>
        <v>関東</v>
      </c>
      <c r="BE4" s="162"/>
      <c r="BF4" s="162"/>
      <c r="BG4" s="162"/>
      <c r="BH4" s="162"/>
      <c r="BI4" s="162"/>
      <c r="BJ4" s="162"/>
    </row>
    <row r="5" spans="2:69" x14ac:dyDescent="0.15">
      <c r="AW5" s="24">
        <v>3</v>
      </c>
    </row>
    <row r="6" spans="2:69" ht="23.25" customHeight="1" x14ac:dyDescent="0.15">
      <c r="D6" s="203" t="s">
        <v>0</v>
      </c>
      <c r="E6" s="33"/>
      <c r="G6" s="121"/>
      <c r="H6" s="121"/>
      <c r="I6" s="103"/>
      <c r="J6" s="103"/>
      <c r="K6" s="103"/>
      <c r="L6" s="103"/>
      <c r="M6" s="103"/>
      <c r="N6" s="103"/>
      <c r="O6" s="103"/>
      <c r="P6" s="103"/>
      <c r="Q6" s="103"/>
      <c r="S6" s="122"/>
      <c r="V6" s="10"/>
      <c r="W6" s="10"/>
      <c r="X6" s="10"/>
      <c r="AA6" s="10"/>
      <c r="AB6" s="10"/>
      <c r="AC6" s="10"/>
      <c r="AD6" s="10"/>
      <c r="AE6" s="10"/>
      <c r="AF6" s="34" t="s">
        <v>90</v>
      </c>
      <c r="AH6" s="10"/>
      <c r="AI6" s="10"/>
      <c r="AJ6" s="10"/>
      <c r="AK6" s="10"/>
      <c r="AL6" s="10"/>
      <c r="AM6" s="10"/>
      <c r="AN6" s="10"/>
      <c r="AO6" s="10"/>
      <c r="AP6" s="10"/>
      <c r="AQ6" s="10"/>
      <c r="AR6" s="10"/>
      <c r="AS6" s="10"/>
      <c r="AT6" s="10"/>
      <c r="AU6" s="10"/>
      <c r="AV6" s="18"/>
      <c r="AW6" s="142"/>
      <c r="AX6" s="142"/>
      <c r="AY6" s="142"/>
      <c r="AZ6" s="142"/>
      <c r="BA6" s="142"/>
      <c r="BB6" s="142"/>
      <c r="BC6" s="142"/>
      <c r="BD6" s="142"/>
      <c r="BE6" s="142"/>
      <c r="BF6" s="141"/>
      <c r="BG6" s="141"/>
      <c r="BH6" s="141"/>
      <c r="BI6" s="141"/>
      <c r="BK6" s="103"/>
    </row>
    <row r="7" spans="2:69" ht="18.75" customHeight="1" x14ac:dyDescent="0.15">
      <c r="N7" s="212" t="s">
        <v>139</v>
      </c>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142"/>
      <c r="AX7" s="142"/>
      <c r="AY7" s="142"/>
      <c r="AZ7" s="142"/>
      <c r="BA7" s="142"/>
      <c r="BB7" s="142"/>
      <c r="BC7" s="142"/>
      <c r="BD7" s="142"/>
      <c r="BE7" s="142"/>
    </row>
    <row r="8" spans="2:69" ht="18.75" customHeight="1" x14ac:dyDescent="0.15">
      <c r="N8" s="219" t="s">
        <v>140</v>
      </c>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142"/>
      <c r="AX8" s="142"/>
      <c r="AY8" s="142"/>
      <c r="AZ8" s="142"/>
      <c r="BA8" s="142"/>
      <c r="BB8" s="142"/>
      <c r="BC8" s="142"/>
      <c r="BD8" s="142"/>
      <c r="BE8" s="142"/>
    </row>
    <row r="9" spans="2:69" ht="15.75" customHeight="1" x14ac:dyDescent="0.15">
      <c r="B9" s="216" t="s">
        <v>31</v>
      </c>
      <c r="C9" s="216"/>
      <c r="D9" s="216"/>
      <c r="E9" s="35"/>
      <c r="F9" s="35"/>
      <c r="N9" s="217"/>
      <c r="O9" s="217"/>
      <c r="P9" s="217"/>
      <c r="Q9" s="34"/>
      <c r="R9" s="217" t="s">
        <v>108</v>
      </c>
      <c r="S9" s="217"/>
      <c r="T9" s="217"/>
      <c r="U9" s="8"/>
      <c r="V9" s="8"/>
      <c r="W9" s="8"/>
      <c r="X9" s="8"/>
      <c r="Y9" s="8"/>
      <c r="Z9" s="8"/>
      <c r="AA9" s="8"/>
      <c r="AB9" s="8"/>
      <c r="AC9" s="8"/>
      <c r="AD9" s="8"/>
      <c r="AE9" s="8"/>
      <c r="AF9" s="8"/>
      <c r="AG9" s="8"/>
      <c r="AI9" s="8"/>
      <c r="AJ9" s="8"/>
      <c r="AK9" s="8"/>
    </row>
    <row r="10" spans="2:69" ht="19.5" customHeight="1" x14ac:dyDescent="0.15">
      <c r="B10" s="216"/>
      <c r="C10" s="216"/>
      <c r="D10" s="216"/>
      <c r="E10" s="35"/>
      <c r="F10" s="35"/>
      <c r="G10" s="5" t="s">
        <v>19</v>
      </c>
      <c r="I10" s="107"/>
      <c r="J10" s="212"/>
      <c r="K10" s="212"/>
      <c r="L10" s="210"/>
      <c r="N10" s="212" t="s">
        <v>12</v>
      </c>
      <c r="O10" s="212"/>
      <c r="P10" s="210"/>
      <c r="Q10" s="36"/>
      <c r="R10" s="218">
        <f ca="1">VLOOKUP($AW$10,INDIRECT(AW4),4)</f>
        <v>4770</v>
      </c>
      <c r="S10" s="218"/>
      <c r="T10" s="218"/>
      <c r="U10" s="37" t="s">
        <v>88</v>
      </c>
      <c r="V10" s="13"/>
      <c r="W10" s="13"/>
      <c r="X10" s="13"/>
      <c r="Y10" s="13"/>
      <c r="Z10" s="13"/>
      <c r="AB10" s="13"/>
      <c r="AC10" s="13"/>
      <c r="AD10" s="13"/>
      <c r="AE10" s="13"/>
      <c r="AF10" s="13"/>
      <c r="AG10" s="13"/>
      <c r="AJ10" s="1"/>
      <c r="AK10" s="1"/>
      <c r="AW10" s="24">
        <v>3</v>
      </c>
    </row>
    <row r="11" spans="2:69" ht="19.5" customHeight="1" x14ac:dyDescent="0.15">
      <c r="B11" s="124"/>
      <c r="C11" s="124"/>
      <c r="D11" s="124"/>
      <c r="E11" s="35"/>
      <c r="F11" s="35"/>
      <c r="I11" s="107"/>
      <c r="J11" s="103"/>
      <c r="K11" s="103"/>
      <c r="L11" s="115"/>
      <c r="N11" s="119"/>
      <c r="O11" s="119"/>
      <c r="P11" s="119"/>
      <c r="Q11" s="2"/>
      <c r="R11" s="119"/>
      <c r="S11" s="119"/>
      <c r="T11" s="119"/>
      <c r="U11" s="37"/>
      <c r="V11" s="13"/>
      <c r="W11" s="13"/>
      <c r="X11" s="13"/>
      <c r="Y11" s="13"/>
      <c r="Z11" s="13"/>
      <c r="AB11" s="13"/>
      <c r="AC11" s="13"/>
      <c r="AD11" s="13"/>
      <c r="AE11" s="13"/>
      <c r="AF11" s="13"/>
      <c r="AG11" s="13"/>
      <c r="AJ11" s="1"/>
      <c r="AK11" s="1"/>
    </row>
    <row r="12" spans="2:69" ht="15.75" customHeight="1" thickBot="1" x14ac:dyDescent="0.2">
      <c r="P12" s="212" t="s">
        <v>55</v>
      </c>
      <c r="Q12" s="212"/>
      <c r="R12" s="212"/>
      <c r="S12" s="212"/>
      <c r="T12" s="212"/>
      <c r="U12" s="212"/>
      <c r="W12" s="140"/>
      <c r="AB12" s="212" t="s">
        <v>56</v>
      </c>
      <c r="AC12" s="212"/>
      <c r="AD12" s="212"/>
      <c r="AE12" s="212"/>
      <c r="AF12" s="212"/>
      <c r="AG12" s="212"/>
      <c r="AH12" s="38"/>
      <c r="AJ12" s="209" t="s">
        <v>37</v>
      </c>
      <c r="AK12" s="209"/>
      <c r="AL12" s="209"/>
      <c r="AM12" s="209"/>
      <c r="AN12" s="209"/>
      <c r="AO12" s="209"/>
      <c r="AP12" s="209"/>
      <c r="AQ12" s="209"/>
      <c r="AR12" s="209"/>
      <c r="AS12" s="39"/>
      <c r="AT12" s="40"/>
      <c r="AU12" s="12"/>
      <c r="AV12" s="19"/>
      <c r="AW12" s="163"/>
      <c r="AX12" s="163"/>
      <c r="AY12" s="163"/>
    </row>
    <row r="13" spans="2:69" ht="18.75" customHeight="1" thickBot="1" x14ac:dyDescent="0.2">
      <c r="B13" s="9"/>
      <c r="C13" s="9"/>
      <c r="D13" s="9"/>
      <c r="J13" s="38"/>
      <c r="K13" s="38"/>
      <c r="L13" s="38"/>
      <c r="M13" s="21" t="s">
        <v>93</v>
      </c>
      <c r="N13" s="38" t="s">
        <v>27</v>
      </c>
      <c r="O13" s="13"/>
      <c r="P13" s="207">
        <v>5</v>
      </c>
      <c r="Q13" s="208"/>
      <c r="R13" s="157" t="s">
        <v>15</v>
      </c>
      <c r="S13" s="1"/>
      <c r="T13" s="205">
        <v>0</v>
      </c>
      <c r="U13" s="206"/>
      <c r="V13" s="13" t="s">
        <v>29</v>
      </c>
      <c r="W13" s="13"/>
      <c r="X13" s="115"/>
      <c r="Y13" s="115"/>
      <c r="Z13" s="115"/>
      <c r="AA13" s="115"/>
      <c r="AB13" s="210">
        <f>IF(OR($T$13="",$T$13=0,),IF(OR($P$13="",$P$13=0),0,IF($P$13&gt;3,$P$13+2,5)),IF(OR($P$13="",$P$13&lt;3),5,$P$13+2))</f>
        <v>7</v>
      </c>
      <c r="AC13" s="210"/>
      <c r="AD13" s="1" t="s">
        <v>15</v>
      </c>
      <c r="AE13" s="115"/>
      <c r="AF13" s="211">
        <f>IF($P$13&lt;3,0,$T$13)</f>
        <v>0</v>
      </c>
      <c r="AG13" s="211"/>
      <c r="AH13" s="1" t="s">
        <v>21</v>
      </c>
      <c r="AI13" s="115"/>
      <c r="AJ13" s="212" t="s">
        <v>27</v>
      </c>
      <c r="AK13" s="212"/>
      <c r="AL13" s="212"/>
      <c r="AM13" s="207">
        <v>2</v>
      </c>
      <c r="AN13" s="208"/>
      <c r="AO13" s="210" t="s">
        <v>15</v>
      </c>
      <c r="AP13" s="210"/>
      <c r="AQ13" s="205">
        <v>0</v>
      </c>
      <c r="AR13" s="206"/>
      <c r="AS13" s="1" t="s">
        <v>21</v>
      </c>
      <c r="AT13" s="1"/>
      <c r="AU13" s="1"/>
      <c r="AV13" s="20"/>
      <c r="BB13" s="144"/>
      <c r="BC13" s="144"/>
      <c r="BD13" s="144"/>
      <c r="BE13" s="144"/>
      <c r="BF13" s="144"/>
      <c r="BG13" s="144"/>
      <c r="BH13" s="144"/>
      <c r="BI13" s="144"/>
    </row>
    <row r="14" spans="2:69" ht="15" customHeight="1" thickBot="1" x14ac:dyDescent="0.2">
      <c r="B14" s="9"/>
      <c r="C14" s="9"/>
      <c r="D14" s="9"/>
      <c r="J14" s="103"/>
      <c r="K14" s="103"/>
      <c r="L14" s="103"/>
      <c r="M14" s="38"/>
      <c r="N14" s="38"/>
      <c r="O14" s="13"/>
      <c r="P14" s="41"/>
      <c r="Q14" s="41"/>
      <c r="R14" s="115"/>
      <c r="S14" s="1"/>
      <c r="T14" s="41"/>
      <c r="U14" s="41"/>
      <c r="V14" s="214" t="str">
        <f>IF(P13&gt;=3,"",IF(P13*60+T13&gt;0,"走行時間は最低３時間のため＋２時間で５時間となります",""))</f>
        <v/>
      </c>
      <c r="W14" s="214"/>
      <c r="X14" s="214"/>
      <c r="Y14" s="214"/>
      <c r="Z14" s="214"/>
      <c r="AA14" s="214"/>
      <c r="AB14" s="214"/>
      <c r="AC14" s="214"/>
      <c r="AD14" s="214"/>
      <c r="AE14" s="214"/>
      <c r="AF14" s="214"/>
      <c r="AG14" s="214"/>
      <c r="AH14" s="214"/>
      <c r="AI14" s="214"/>
      <c r="AJ14" s="214"/>
      <c r="AM14" s="42"/>
      <c r="AN14" s="42"/>
      <c r="AQ14" s="41"/>
      <c r="AR14" s="42"/>
      <c r="AS14" s="116"/>
      <c r="AT14" s="1"/>
      <c r="AU14" s="1"/>
      <c r="AV14" s="20"/>
      <c r="AW14" s="24">
        <v>1</v>
      </c>
      <c r="AX14" s="24" t="s">
        <v>66</v>
      </c>
      <c r="BB14" s="144"/>
      <c r="BC14" s="144"/>
      <c r="BD14" s="144"/>
      <c r="BE14" s="144"/>
      <c r="BF14" s="144"/>
      <c r="BG14" s="144"/>
      <c r="BH14" s="144"/>
      <c r="BI14" s="144"/>
    </row>
    <row r="15" spans="2:69" ht="18.75" customHeight="1" thickBot="1" x14ac:dyDescent="0.2">
      <c r="B15" s="9"/>
      <c r="C15" s="9"/>
      <c r="D15" s="9"/>
      <c r="J15" s="38"/>
      <c r="K15" s="38"/>
      <c r="L15" s="38"/>
      <c r="M15" s="21" t="s">
        <v>93</v>
      </c>
      <c r="N15" s="38" t="s">
        <v>26</v>
      </c>
      <c r="O15" s="13"/>
      <c r="P15" s="207">
        <v>2</v>
      </c>
      <c r="Q15" s="208"/>
      <c r="R15" s="157" t="s">
        <v>15</v>
      </c>
      <c r="S15" s="1"/>
      <c r="T15" s="205">
        <v>0</v>
      </c>
      <c r="U15" s="206"/>
      <c r="V15" s="157" t="s">
        <v>29</v>
      </c>
      <c r="W15" s="13"/>
      <c r="X15" s="115"/>
      <c r="Y15" s="115"/>
      <c r="Z15" s="115"/>
      <c r="AA15" s="115"/>
      <c r="AB15" s="210">
        <f>IF(OR($T$15="",$T$15=0,),IF(OR($P$15="",$P$15=0),0,IF($P$15&gt;3,$P$15+2,5)),IF(OR($P$15="",$P$15&lt;3),5,$P$15+2))</f>
        <v>5</v>
      </c>
      <c r="AC15" s="210"/>
      <c r="AD15" s="1" t="s">
        <v>15</v>
      </c>
      <c r="AE15" s="115"/>
      <c r="AF15" s="211">
        <f>IF($P$15&lt;3,0,$T$15)</f>
        <v>0</v>
      </c>
      <c r="AG15" s="211"/>
      <c r="AH15" s="1" t="s">
        <v>21</v>
      </c>
      <c r="AI15" s="115"/>
      <c r="AJ15" s="212" t="s">
        <v>26</v>
      </c>
      <c r="AK15" s="212"/>
      <c r="AL15" s="212"/>
      <c r="AM15" s="207">
        <v>0</v>
      </c>
      <c r="AN15" s="208"/>
      <c r="AO15" s="210" t="s">
        <v>15</v>
      </c>
      <c r="AP15" s="210"/>
      <c r="AQ15" s="205">
        <v>0</v>
      </c>
      <c r="AR15" s="206"/>
      <c r="AS15" s="1" t="s">
        <v>21</v>
      </c>
      <c r="AT15" s="1"/>
      <c r="AU15" s="1"/>
      <c r="AV15" s="20"/>
      <c r="AW15" s="24">
        <v>2</v>
      </c>
      <c r="AX15" s="24" t="s">
        <v>67</v>
      </c>
      <c r="BB15" s="144"/>
      <c r="BC15" s="144"/>
      <c r="BD15" s="144"/>
      <c r="BE15" s="144"/>
      <c r="BF15" s="144"/>
      <c r="BG15" s="144"/>
      <c r="BH15" s="144"/>
      <c r="BI15" s="144"/>
      <c r="BN15" s="103"/>
      <c r="BP15" s="11"/>
      <c r="BQ15" s="164"/>
    </row>
    <row r="16" spans="2:69" ht="15" customHeight="1" thickBot="1" x14ac:dyDescent="0.2">
      <c r="B16" s="9"/>
      <c r="C16" s="9"/>
      <c r="D16" s="9"/>
      <c r="M16" s="38"/>
      <c r="N16" s="38"/>
      <c r="O16" s="13"/>
      <c r="P16" s="41"/>
      <c r="Q16" s="41"/>
      <c r="R16" s="115"/>
      <c r="S16" s="1"/>
      <c r="T16" s="41"/>
      <c r="U16" s="41"/>
      <c r="V16" s="204" t="str">
        <f>IF(P15&gt;=3,"",IF(P15*60+T15&gt;0,"走行時間は最低３時間のため＋２時間で５時間となります",""))</f>
        <v>走行時間は最低３時間のため＋２時間で５時間となります</v>
      </c>
      <c r="W16" s="204"/>
      <c r="X16" s="204"/>
      <c r="Y16" s="204"/>
      <c r="Z16" s="204"/>
      <c r="AA16" s="204"/>
      <c r="AB16" s="204"/>
      <c r="AC16" s="204"/>
      <c r="AD16" s="204"/>
      <c r="AE16" s="204"/>
      <c r="AF16" s="204"/>
      <c r="AG16" s="204"/>
      <c r="AH16" s="204"/>
      <c r="AI16" s="204"/>
      <c r="AJ16" s="204"/>
      <c r="AM16" s="42"/>
      <c r="AN16" s="42"/>
      <c r="AQ16" s="41"/>
      <c r="AR16" s="42"/>
      <c r="AS16" s="116"/>
      <c r="AT16" s="1"/>
      <c r="AU16" s="1"/>
      <c r="AV16" s="20"/>
      <c r="AW16" s="24">
        <v>3</v>
      </c>
      <c r="AX16" s="24" t="s">
        <v>68</v>
      </c>
      <c r="BB16" s="144"/>
      <c r="BC16" s="144"/>
      <c r="BD16" s="144"/>
      <c r="BE16" s="144"/>
      <c r="BF16" s="144"/>
      <c r="BG16" s="144"/>
      <c r="BH16" s="144"/>
      <c r="BI16" s="144"/>
      <c r="BN16" s="103"/>
      <c r="BP16" s="11"/>
      <c r="BQ16" s="164"/>
    </row>
    <row r="17" spans="2:69" ht="18.75" customHeight="1" thickBot="1" x14ac:dyDescent="0.2">
      <c r="B17" s="9"/>
      <c r="C17" s="9"/>
      <c r="D17" s="9"/>
      <c r="J17" s="38"/>
      <c r="K17" s="38"/>
      <c r="L17" s="38"/>
      <c r="M17" s="21" t="s">
        <v>93</v>
      </c>
      <c r="N17" s="38" t="s">
        <v>28</v>
      </c>
      <c r="O17" s="13"/>
      <c r="P17" s="207"/>
      <c r="Q17" s="208"/>
      <c r="R17" s="157" t="s">
        <v>15</v>
      </c>
      <c r="S17" s="1"/>
      <c r="T17" s="205"/>
      <c r="U17" s="206"/>
      <c r="V17" s="157" t="s">
        <v>29</v>
      </c>
      <c r="W17" s="13"/>
      <c r="X17" s="115"/>
      <c r="Y17" s="115"/>
      <c r="Z17" s="115"/>
      <c r="AA17" s="115"/>
      <c r="AB17" s="210">
        <f>IF(OR($T$17="",$T$17=0,),IF(OR($P$17="",$P$17=0),0,IF($P$17&gt;3,$P$17+2,5)),IF(OR($P$17="",$P$17&lt;3),5,$P$17+2))</f>
        <v>0</v>
      </c>
      <c r="AC17" s="210"/>
      <c r="AD17" s="1" t="s">
        <v>15</v>
      </c>
      <c r="AE17" s="115"/>
      <c r="AF17" s="211">
        <f>IF($P$17&lt;3,0,$T$17)</f>
        <v>0</v>
      </c>
      <c r="AG17" s="211"/>
      <c r="AH17" s="1" t="s">
        <v>21</v>
      </c>
      <c r="AI17" s="115"/>
      <c r="AJ17" s="212" t="s">
        <v>28</v>
      </c>
      <c r="AK17" s="212"/>
      <c r="AL17" s="212"/>
      <c r="AM17" s="207"/>
      <c r="AN17" s="208"/>
      <c r="AO17" s="210" t="s">
        <v>15</v>
      </c>
      <c r="AP17" s="210"/>
      <c r="AQ17" s="205"/>
      <c r="AR17" s="206"/>
      <c r="AS17" s="1" t="s">
        <v>21</v>
      </c>
      <c r="AT17" s="1"/>
      <c r="AU17" s="1"/>
      <c r="AV17" s="20"/>
      <c r="AW17" s="24">
        <v>4</v>
      </c>
      <c r="AX17" s="24" t="s">
        <v>69</v>
      </c>
      <c r="BB17" s="144"/>
      <c r="BC17" s="144"/>
      <c r="BD17" s="144"/>
      <c r="BE17" s="144"/>
      <c r="BF17" s="144"/>
      <c r="BG17" s="144"/>
      <c r="BH17" s="144"/>
      <c r="BI17" s="144"/>
      <c r="BK17" s="86"/>
      <c r="BN17" s="103"/>
      <c r="BP17" s="11"/>
      <c r="BQ17" s="164"/>
    </row>
    <row r="18" spans="2:69" ht="15" customHeight="1" thickBot="1" x14ac:dyDescent="0.2">
      <c r="B18" s="9"/>
      <c r="C18" s="9"/>
      <c r="D18" s="9"/>
      <c r="M18" s="38"/>
      <c r="N18" s="38"/>
      <c r="O18" s="13"/>
      <c r="P18" s="115"/>
      <c r="Q18" s="115"/>
      <c r="R18" s="115"/>
      <c r="S18" s="1"/>
      <c r="T18" s="115"/>
      <c r="U18" s="115"/>
      <c r="V18" s="214" t="str">
        <f>IF(P17&gt;=3,"",IF(P17*60+T17&gt;0,"※走行時間は最低３時間のため＋２時間で５時間となります",""))</f>
        <v/>
      </c>
      <c r="W18" s="214"/>
      <c r="X18" s="214"/>
      <c r="Y18" s="214"/>
      <c r="Z18" s="214"/>
      <c r="AA18" s="214"/>
      <c r="AB18" s="214"/>
      <c r="AC18" s="214"/>
      <c r="AD18" s="214"/>
      <c r="AE18" s="214"/>
      <c r="AF18" s="214"/>
      <c r="AG18" s="214"/>
      <c r="AH18" s="214"/>
      <c r="AI18" s="214"/>
      <c r="AJ18" s="214"/>
      <c r="AK18" s="115"/>
      <c r="AL18" s="115"/>
      <c r="AM18" s="115"/>
      <c r="AN18" s="115"/>
      <c r="AO18" s="115"/>
      <c r="AP18" s="115"/>
      <c r="AQ18" s="115"/>
      <c r="AR18" s="115"/>
      <c r="AS18" s="115"/>
      <c r="AT18" s="1"/>
      <c r="AU18" s="1"/>
      <c r="AV18" s="20"/>
      <c r="AW18" s="24">
        <v>5</v>
      </c>
      <c r="AX18" s="24" t="s">
        <v>70</v>
      </c>
      <c r="BB18" s="144"/>
      <c r="BC18" s="144"/>
      <c r="BD18" s="144"/>
      <c r="BE18" s="144"/>
      <c r="BF18" s="144"/>
      <c r="BG18" s="144"/>
      <c r="BH18" s="144"/>
      <c r="BI18" s="144"/>
      <c r="BK18" s="86"/>
      <c r="BN18" s="103"/>
      <c r="BP18" s="11"/>
      <c r="BQ18" s="164"/>
    </row>
    <row r="19" spans="2:69" ht="18.75" customHeight="1" thickBot="1" x14ac:dyDescent="0.2">
      <c r="B19" s="9"/>
      <c r="C19" s="9"/>
      <c r="D19" s="9"/>
      <c r="J19" s="38"/>
      <c r="K19" s="38"/>
      <c r="L19" s="38"/>
      <c r="M19" s="21" t="s">
        <v>93</v>
      </c>
      <c r="N19" s="38" t="s">
        <v>113</v>
      </c>
      <c r="O19" s="13"/>
      <c r="P19" s="207"/>
      <c r="Q19" s="208"/>
      <c r="R19" s="157" t="s">
        <v>15</v>
      </c>
      <c r="S19" s="1"/>
      <c r="T19" s="205"/>
      <c r="U19" s="206"/>
      <c r="V19" s="157" t="s">
        <v>29</v>
      </c>
      <c r="W19" s="13"/>
      <c r="X19" s="115"/>
      <c r="Y19" s="115"/>
      <c r="Z19" s="115"/>
      <c r="AA19" s="115"/>
      <c r="AB19" s="210">
        <f>IF(OR($T$19="",$T$19=0,),IF(OR($P$19="",$P$19=0),0,IF($P$19&gt;3,$P$19+2,5)),IF(OR($P$19="",$P$19&lt;3),5,$P$19+2))</f>
        <v>0</v>
      </c>
      <c r="AC19" s="210"/>
      <c r="AD19" s="1" t="s">
        <v>15</v>
      </c>
      <c r="AE19" s="115"/>
      <c r="AF19" s="211">
        <f>IF($P$19&lt;3,0,$T$19)</f>
        <v>0</v>
      </c>
      <c r="AG19" s="211"/>
      <c r="AH19" s="1" t="s">
        <v>21</v>
      </c>
      <c r="AI19" s="115"/>
      <c r="AJ19" s="212" t="s">
        <v>113</v>
      </c>
      <c r="AK19" s="212"/>
      <c r="AL19" s="212"/>
      <c r="AM19" s="207"/>
      <c r="AN19" s="208"/>
      <c r="AO19" s="210" t="s">
        <v>15</v>
      </c>
      <c r="AP19" s="210"/>
      <c r="AQ19" s="205"/>
      <c r="AR19" s="206"/>
      <c r="AS19" s="1" t="s">
        <v>21</v>
      </c>
      <c r="AT19" s="1"/>
      <c r="AU19" s="1"/>
      <c r="AV19" s="20"/>
      <c r="AW19" s="24">
        <v>6</v>
      </c>
      <c r="AX19" s="24" t="s">
        <v>75</v>
      </c>
      <c r="BB19" s="144"/>
      <c r="BC19" s="144"/>
      <c r="BD19" s="144"/>
      <c r="BE19" s="144"/>
      <c r="BF19" s="144"/>
      <c r="BG19" s="144"/>
      <c r="BH19" s="144"/>
      <c r="BI19" s="144"/>
      <c r="BK19" s="86"/>
      <c r="BN19" s="103"/>
      <c r="BP19" s="11"/>
      <c r="BQ19" s="164"/>
    </row>
    <row r="20" spans="2:69" ht="15" customHeight="1" thickBot="1" x14ac:dyDescent="0.2">
      <c r="B20" s="9"/>
      <c r="C20" s="9"/>
      <c r="D20" s="9"/>
      <c r="M20" s="38"/>
      <c r="N20" s="38"/>
      <c r="O20" s="13"/>
      <c r="P20" s="115"/>
      <c r="Q20" s="115"/>
      <c r="R20" s="115"/>
      <c r="S20" s="1"/>
      <c r="T20" s="115"/>
      <c r="U20" s="115"/>
      <c r="V20" s="214" t="str">
        <f>IF(P19&gt;=3,"",IF(P19*60+T19&gt;0,"※走行時間は最低３時間のため＋２時間で５時間となります",""))</f>
        <v/>
      </c>
      <c r="W20" s="214"/>
      <c r="X20" s="214"/>
      <c r="Y20" s="214"/>
      <c r="Z20" s="214"/>
      <c r="AA20" s="214"/>
      <c r="AB20" s="214"/>
      <c r="AC20" s="214"/>
      <c r="AD20" s="214"/>
      <c r="AE20" s="214"/>
      <c r="AF20" s="214"/>
      <c r="AG20" s="214"/>
      <c r="AH20" s="214"/>
      <c r="AI20" s="214"/>
      <c r="AJ20" s="214"/>
      <c r="AK20" s="115"/>
      <c r="AL20" s="115"/>
      <c r="AM20" s="115"/>
      <c r="AN20" s="115"/>
      <c r="AO20" s="115"/>
      <c r="AP20" s="115"/>
      <c r="AQ20" s="115"/>
      <c r="AR20" s="115"/>
      <c r="AS20" s="115"/>
      <c r="AT20" s="1"/>
      <c r="AU20" s="1"/>
      <c r="AV20" s="20"/>
      <c r="AW20" s="24">
        <v>7</v>
      </c>
      <c r="AX20" s="24" t="s">
        <v>71</v>
      </c>
      <c r="BB20" s="144"/>
      <c r="BC20" s="144"/>
      <c r="BD20" s="144"/>
      <c r="BE20" s="144"/>
      <c r="BF20" s="144"/>
      <c r="BG20" s="144"/>
      <c r="BH20" s="144"/>
      <c r="BI20" s="144"/>
      <c r="BK20" s="86"/>
      <c r="BN20" s="103"/>
      <c r="BP20" s="11"/>
      <c r="BQ20" s="164"/>
    </row>
    <row r="21" spans="2:69" ht="18.75" customHeight="1" thickBot="1" x14ac:dyDescent="0.2">
      <c r="B21" s="9"/>
      <c r="C21" s="9"/>
      <c r="D21" s="9"/>
      <c r="J21" s="38"/>
      <c r="K21" s="38"/>
      <c r="L21" s="38"/>
      <c r="M21" s="21" t="s">
        <v>93</v>
      </c>
      <c r="N21" s="38" t="s">
        <v>114</v>
      </c>
      <c r="O21" s="13"/>
      <c r="P21" s="207"/>
      <c r="Q21" s="208"/>
      <c r="R21" s="157" t="s">
        <v>15</v>
      </c>
      <c r="S21" s="1"/>
      <c r="T21" s="205"/>
      <c r="U21" s="206"/>
      <c r="V21" s="157" t="s">
        <v>29</v>
      </c>
      <c r="W21" s="13"/>
      <c r="X21" s="115"/>
      <c r="Y21" s="115"/>
      <c r="Z21" s="115"/>
      <c r="AA21" s="115"/>
      <c r="AB21" s="210">
        <f>IF(OR($T$21="",$T$21=0,),IF(OR($P$21="",$P$21=0),0,IF($P$21&gt;3,$P$21+2,5)),IF(OR($P$21="",$P$21&lt;3),5,$P$21+2))</f>
        <v>0</v>
      </c>
      <c r="AC21" s="210"/>
      <c r="AD21" s="1" t="s">
        <v>15</v>
      </c>
      <c r="AE21" s="115"/>
      <c r="AF21" s="211">
        <f>IF($P$21&lt;3,0,$T$21)</f>
        <v>0</v>
      </c>
      <c r="AG21" s="211"/>
      <c r="AH21" s="1" t="s">
        <v>21</v>
      </c>
      <c r="AI21" s="115"/>
      <c r="AJ21" s="212" t="s">
        <v>114</v>
      </c>
      <c r="AK21" s="212"/>
      <c r="AL21" s="212"/>
      <c r="AM21" s="207"/>
      <c r="AN21" s="208"/>
      <c r="AO21" s="210" t="s">
        <v>15</v>
      </c>
      <c r="AP21" s="210"/>
      <c r="AQ21" s="205"/>
      <c r="AR21" s="206"/>
      <c r="AS21" s="1" t="s">
        <v>21</v>
      </c>
      <c r="AT21" s="1"/>
      <c r="AU21" s="1"/>
      <c r="AV21" s="20"/>
      <c r="AW21" s="24">
        <v>8</v>
      </c>
      <c r="AX21" s="24" t="s">
        <v>72</v>
      </c>
      <c r="BB21" s="144"/>
      <c r="BC21" s="144"/>
      <c r="BD21" s="144"/>
      <c r="BE21" s="144"/>
      <c r="BF21" s="144"/>
      <c r="BG21" s="144"/>
      <c r="BH21" s="144"/>
      <c r="BI21" s="144"/>
      <c r="BK21" s="86"/>
      <c r="BN21" s="103"/>
      <c r="BP21" s="11"/>
      <c r="BQ21" s="164"/>
    </row>
    <row r="22" spans="2:69" ht="15" customHeight="1" thickBot="1" x14ac:dyDescent="0.2">
      <c r="B22" s="9"/>
      <c r="C22" s="9"/>
      <c r="D22" s="9"/>
      <c r="M22" s="38"/>
      <c r="N22" s="38"/>
      <c r="O22" s="13"/>
      <c r="P22" s="115"/>
      <c r="Q22" s="115"/>
      <c r="R22" s="115"/>
      <c r="S22" s="1"/>
      <c r="T22" s="115"/>
      <c r="U22" s="115"/>
      <c r="V22" s="214" t="str">
        <f>IF(P21&gt;=3,"",IF(P21*60+T21&gt;0,"※走行時間は最低３時間のため＋２時間で５時間となります",""))</f>
        <v/>
      </c>
      <c r="W22" s="214"/>
      <c r="X22" s="214"/>
      <c r="Y22" s="214"/>
      <c r="Z22" s="214"/>
      <c r="AA22" s="214"/>
      <c r="AB22" s="214"/>
      <c r="AC22" s="214"/>
      <c r="AD22" s="214"/>
      <c r="AE22" s="214"/>
      <c r="AF22" s="214"/>
      <c r="AG22" s="214"/>
      <c r="AH22" s="214"/>
      <c r="AI22" s="214"/>
      <c r="AJ22" s="214"/>
      <c r="AK22" s="115"/>
      <c r="AL22" s="115"/>
      <c r="AM22" s="115"/>
      <c r="AN22" s="115"/>
      <c r="AO22" s="115"/>
      <c r="AP22" s="115"/>
      <c r="AQ22" s="115"/>
      <c r="AR22" s="115"/>
      <c r="AS22" s="115"/>
      <c r="AT22" s="1"/>
      <c r="AU22" s="1"/>
      <c r="AV22" s="20"/>
      <c r="AW22" s="24">
        <v>9</v>
      </c>
      <c r="AX22" s="24" t="s">
        <v>73</v>
      </c>
      <c r="BB22" s="144"/>
      <c r="BC22" s="144"/>
      <c r="BD22" s="144"/>
      <c r="BE22" s="144"/>
      <c r="BF22" s="144"/>
      <c r="BG22" s="144"/>
      <c r="BH22" s="144"/>
      <c r="BI22" s="144"/>
      <c r="BK22" s="86"/>
      <c r="BN22" s="103"/>
      <c r="BP22" s="11"/>
      <c r="BQ22" s="164"/>
    </row>
    <row r="23" spans="2:69" ht="18.75" customHeight="1" thickBot="1" x14ac:dyDescent="0.2">
      <c r="B23" s="9"/>
      <c r="C23" s="9"/>
      <c r="D23" s="9"/>
      <c r="J23" s="38"/>
      <c r="K23" s="38"/>
      <c r="L23" s="38"/>
      <c r="M23" s="21" t="s">
        <v>93</v>
      </c>
      <c r="N23" s="38" t="s">
        <v>115</v>
      </c>
      <c r="O23" s="13"/>
      <c r="P23" s="207"/>
      <c r="Q23" s="208"/>
      <c r="R23" s="157" t="s">
        <v>15</v>
      </c>
      <c r="S23" s="1"/>
      <c r="T23" s="205"/>
      <c r="U23" s="206"/>
      <c r="V23" s="157" t="s">
        <v>29</v>
      </c>
      <c r="W23" s="13"/>
      <c r="X23" s="115"/>
      <c r="Y23" s="115"/>
      <c r="Z23" s="115"/>
      <c r="AA23" s="115"/>
      <c r="AB23" s="210">
        <f>IF(OR($T$23="",$T$23=0,),IF(OR($P$23="",$P$23=0),0,IF($P$23&gt;3,$P$23+2,5)),IF(OR($P$23="",$P$23&lt;3),5,$P$23+2))</f>
        <v>0</v>
      </c>
      <c r="AC23" s="210"/>
      <c r="AD23" s="1" t="s">
        <v>15</v>
      </c>
      <c r="AE23" s="115"/>
      <c r="AF23" s="211">
        <f>IF($P$23&lt;3,0,$T$23)</f>
        <v>0</v>
      </c>
      <c r="AG23" s="211"/>
      <c r="AH23" s="1" t="s">
        <v>21</v>
      </c>
      <c r="AI23" s="115"/>
      <c r="AJ23" s="212" t="s">
        <v>115</v>
      </c>
      <c r="AK23" s="212"/>
      <c r="AL23" s="212"/>
      <c r="AM23" s="207"/>
      <c r="AN23" s="208"/>
      <c r="AO23" s="210" t="s">
        <v>15</v>
      </c>
      <c r="AP23" s="210"/>
      <c r="AQ23" s="205"/>
      <c r="AR23" s="206"/>
      <c r="AS23" s="1" t="s">
        <v>21</v>
      </c>
      <c r="AT23" s="1"/>
      <c r="AU23" s="1"/>
      <c r="AV23" s="20"/>
      <c r="AW23" s="24">
        <v>10</v>
      </c>
      <c r="AX23" s="24" t="s">
        <v>74</v>
      </c>
      <c r="BB23" s="144"/>
      <c r="BC23" s="144"/>
      <c r="BD23" s="144"/>
      <c r="BE23" s="144"/>
      <c r="BF23" s="144"/>
      <c r="BG23" s="144"/>
      <c r="BH23" s="144"/>
      <c r="BI23" s="144"/>
      <c r="BK23" s="86"/>
      <c r="BN23" s="103"/>
      <c r="BP23" s="11"/>
      <c r="BQ23" s="164"/>
    </row>
    <row r="24" spans="2:69" ht="15" customHeight="1" thickBot="1" x14ac:dyDescent="0.2">
      <c r="B24" s="9"/>
      <c r="C24" s="9"/>
      <c r="D24" s="9"/>
      <c r="M24" s="38"/>
      <c r="N24" s="38"/>
      <c r="O24" s="13"/>
      <c r="P24" s="115"/>
      <c r="Q24" s="115"/>
      <c r="R24" s="115"/>
      <c r="S24" s="1"/>
      <c r="T24" s="115"/>
      <c r="U24" s="115"/>
      <c r="V24" s="214" t="str">
        <f>IF(P23&gt;=3,"",IF(P23*60+T23&gt;0,"※走行時間は最低３時間のため＋２時間で５時間となります",""))</f>
        <v/>
      </c>
      <c r="W24" s="214"/>
      <c r="X24" s="214"/>
      <c r="Y24" s="214"/>
      <c r="Z24" s="214"/>
      <c r="AA24" s="214"/>
      <c r="AB24" s="214"/>
      <c r="AC24" s="214"/>
      <c r="AD24" s="214"/>
      <c r="AE24" s="214"/>
      <c r="AF24" s="214"/>
      <c r="AG24" s="214"/>
      <c r="AH24" s="214"/>
      <c r="AI24" s="214"/>
      <c r="AJ24" s="214"/>
      <c r="AK24" s="115"/>
      <c r="AL24" s="115"/>
      <c r="AM24" s="115"/>
      <c r="AN24" s="115"/>
      <c r="AO24" s="115"/>
      <c r="AP24" s="115"/>
      <c r="AQ24" s="115"/>
      <c r="AR24" s="115"/>
      <c r="AS24" s="115"/>
      <c r="AT24" s="1"/>
      <c r="AU24" s="1"/>
      <c r="AV24" s="20"/>
      <c r="BB24" s="144"/>
      <c r="BC24" s="144"/>
      <c r="BD24" s="144"/>
      <c r="BE24" s="144"/>
      <c r="BF24" s="144"/>
      <c r="BG24" s="144"/>
      <c r="BH24" s="144"/>
      <c r="BI24" s="144"/>
      <c r="BK24" s="86"/>
      <c r="BN24" s="103"/>
      <c r="BP24" s="11"/>
      <c r="BQ24" s="164"/>
    </row>
    <row r="25" spans="2:69" ht="18.75" customHeight="1" thickBot="1" x14ac:dyDescent="0.2">
      <c r="B25" s="9"/>
      <c r="C25" s="9"/>
      <c r="D25" s="9"/>
      <c r="J25" s="38"/>
      <c r="K25" s="38"/>
      <c r="L25" s="38"/>
      <c r="M25" s="21" t="s">
        <v>93</v>
      </c>
      <c r="N25" s="38" t="s">
        <v>116</v>
      </c>
      <c r="O25" s="13"/>
      <c r="P25" s="207"/>
      <c r="Q25" s="208"/>
      <c r="R25" s="157" t="s">
        <v>15</v>
      </c>
      <c r="S25" s="1"/>
      <c r="T25" s="205"/>
      <c r="U25" s="206"/>
      <c r="V25" s="157" t="s">
        <v>29</v>
      </c>
      <c r="W25" s="13"/>
      <c r="X25" s="115"/>
      <c r="Y25" s="115"/>
      <c r="Z25" s="115"/>
      <c r="AA25" s="115"/>
      <c r="AB25" s="210">
        <f>IF(OR($T$25="",$T$25=0,),IF(OR($P$25="",$P$25=0),0,IF($P$25&gt;3,$P$25+2,5)),IF(OR($P$25="",$P$25&lt;3),5,$P$25+2))</f>
        <v>0</v>
      </c>
      <c r="AC25" s="210"/>
      <c r="AD25" s="1" t="s">
        <v>15</v>
      </c>
      <c r="AE25" s="115"/>
      <c r="AF25" s="211">
        <f>IF($P$25&lt;3,0,$T$25)</f>
        <v>0</v>
      </c>
      <c r="AG25" s="211"/>
      <c r="AH25" s="1" t="s">
        <v>21</v>
      </c>
      <c r="AI25" s="115"/>
      <c r="AJ25" s="212" t="s">
        <v>116</v>
      </c>
      <c r="AK25" s="212"/>
      <c r="AL25" s="212"/>
      <c r="AM25" s="207"/>
      <c r="AN25" s="208"/>
      <c r="AO25" s="210" t="s">
        <v>15</v>
      </c>
      <c r="AP25" s="210"/>
      <c r="AQ25" s="205"/>
      <c r="AR25" s="206"/>
      <c r="AS25" s="1" t="s">
        <v>21</v>
      </c>
      <c r="AT25" s="1"/>
      <c r="AU25" s="1"/>
      <c r="AV25" s="20"/>
      <c r="BB25" s="144"/>
      <c r="BC25" s="144"/>
      <c r="BD25" s="144"/>
      <c r="BE25" s="144"/>
      <c r="BF25" s="144"/>
      <c r="BG25" s="144"/>
      <c r="BH25" s="144"/>
      <c r="BI25" s="144"/>
      <c r="BK25" s="86"/>
      <c r="BN25" s="103"/>
      <c r="BP25" s="11"/>
      <c r="BQ25" s="164"/>
    </row>
    <row r="26" spans="2:69" ht="15" customHeight="1" thickBot="1" x14ac:dyDescent="0.2">
      <c r="B26" s="9"/>
      <c r="C26" s="9"/>
      <c r="D26" s="9"/>
      <c r="M26" s="38"/>
      <c r="N26" s="38"/>
      <c r="O26" s="13"/>
      <c r="P26" s="115"/>
      <c r="Q26" s="115"/>
      <c r="R26" s="115"/>
      <c r="S26" s="1"/>
      <c r="T26" s="115"/>
      <c r="U26" s="115"/>
      <c r="V26" s="214" t="str">
        <f>IF(P25&gt;=3,"",IF(P25*60+T25&gt;0,"※走行時間は最低３時間のため＋２時間で５時間となります",""))</f>
        <v/>
      </c>
      <c r="W26" s="214"/>
      <c r="X26" s="214"/>
      <c r="Y26" s="214"/>
      <c r="Z26" s="214"/>
      <c r="AA26" s="214"/>
      <c r="AB26" s="214"/>
      <c r="AC26" s="214"/>
      <c r="AD26" s="214"/>
      <c r="AE26" s="214"/>
      <c r="AF26" s="214"/>
      <c r="AG26" s="214"/>
      <c r="AH26" s="214"/>
      <c r="AI26" s="214"/>
      <c r="AJ26" s="214"/>
      <c r="AK26" s="115"/>
      <c r="AL26" s="115"/>
      <c r="AM26" s="115"/>
      <c r="AN26" s="115"/>
      <c r="AO26" s="115"/>
      <c r="AP26" s="115"/>
      <c r="AQ26" s="115"/>
      <c r="AR26" s="115"/>
      <c r="AS26" s="115"/>
      <c r="AT26" s="1"/>
      <c r="AU26" s="1"/>
      <c r="AV26" s="20"/>
      <c r="BB26" s="144"/>
      <c r="BC26" s="144"/>
      <c r="BD26" s="144"/>
      <c r="BE26" s="144"/>
      <c r="BF26" s="144"/>
      <c r="BG26" s="144"/>
      <c r="BH26" s="144"/>
      <c r="BI26" s="144"/>
      <c r="BK26" s="86"/>
      <c r="BN26" s="103"/>
      <c r="BP26" s="11"/>
      <c r="BQ26" s="164"/>
    </row>
    <row r="27" spans="2:69" ht="18.75" customHeight="1" thickBot="1" x14ac:dyDescent="0.2">
      <c r="B27" s="9"/>
      <c r="C27" s="9"/>
      <c r="D27" s="9"/>
      <c r="J27" s="38"/>
      <c r="K27" s="38"/>
      <c r="L27" s="38"/>
      <c r="M27" s="21" t="s">
        <v>93</v>
      </c>
      <c r="N27" s="38" t="s">
        <v>117</v>
      </c>
      <c r="O27" s="13"/>
      <c r="P27" s="207"/>
      <c r="Q27" s="208"/>
      <c r="R27" s="157" t="s">
        <v>15</v>
      </c>
      <c r="S27" s="1"/>
      <c r="T27" s="205"/>
      <c r="U27" s="206"/>
      <c r="V27" s="157" t="s">
        <v>29</v>
      </c>
      <c r="W27" s="13"/>
      <c r="X27" s="115"/>
      <c r="Y27" s="115"/>
      <c r="Z27" s="115"/>
      <c r="AA27" s="115"/>
      <c r="AB27" s="210">
        <f>IF(OR($T$27="",$T$27=0,),IF(OR($P$27="",$P$27=0),0,IF($P$27&gt;3,$P$27+2,5)),IF(OR($P$27="",$P$27&lt;3),5,$P$27+2))</f>
        <v>0</v>
      </c>
      <c r="AC27" s="210"/>
      <c r="AD27" s="1" t="s">
        <v>15</v>
      </c>
      <c r="AE27" s="115"/>
      <c r="AF27" s="211">
        <f>IF($P$27&lt;3,0,$T$27)</f>
        <v>0</v>
      </c>
      <c r="AG27" s="211"/>
      <c r="AH27" s="1" t="s">
        <v>21</v>
      </c>
      <c r="AI27" s="115"/>
      <c r="AJ27" s="212" t="s">
        <v>117</v>
      </c>
      <c r="AK27" s="212"/>
      <c r="AL27" s="212"/>
      <c r="AM27" s="207"/>
      <c r="AN27" s="208"/>
      <c r="AO27" s="210" t="s">
        <v>15</v>
      </c>
      <c r="AP27" s="210"/>
      <c r="AQ27" s="205"/>
      <c r="AR27" s="206"/>
      <c r="AS27" s="1" t="s">
        <v>21</v>
      </c>
      <c r="AT27" s="1"/>
      <c r="AU27" s="1"/>
      <c r="AV27" s="20"/>
      <c r="BB27" s="144"/>
      <c r="BC27" s="144"/>
      <c r="BD27" s="144"/>
      <c r="BE27" s="144"/>
      <c r="BF27" s="144"/>
      <c r="BG27" s="144"/>
      <c r="BH27" s="144"/>
      <c r="BI27" s="144"/>
      <c r="BK27" s="86"/>
      <c r="BN27" s="103"/>
      <c r="BP27" s="11"/>
      <c r="BQ27" s="164"/>
    </row>
    <row r="28" spans="2:69" ht="15" customHeight="1" thickBot="1" x14ac:dyDescent="0.2">
      <c r="B28" s="9"/>
      <c r="C28" s="9"/>
      <c r="D28" s="9"/>
      <c r="M28" s="38"/>
      <c r="N28" s="38"/>
      <c r="O28" s="13"/>
      <c r="P28" s="115"/>
      <c r="Q28" s="115"/>
      <c r="R28" s="115"/>
      <c r="S28" s="1"/>
      <c r="T28" s="115"/>
      <c r="U28" s="115"/>
      <c r="V28" s="214" t="str">
        <f>IF(P27&gt;=3,"",IF(P27*60+T27&gt;0,"※走行時間は最低３時間のため＋２時間で５時間となります",""))</f>
        <v/>
      </c>
      <c r="W28" s="214"/>
      <c r="X28" s="214"/>
      <c r="Y28" s="214"/>
      <c r="Z28" s="214"/>
      <c r="AA28" s="214"/>
      <c r="AB28" s="214"/>
      <c r="AC28" s="214"/>
      <c r="AD28" s="214"/>
      <c r="AE28" s="214"/>
      <c r="AF28" s="214"/>
      <c r="AG28" s="214"/>
      <c r="AH28" s="214"/>
      <c r="AI28" s="214"/>
      <c r="AJ28" s="214"/>
      <c r="AK28" s="115"/>
      <c r="AL28" s="115"/>
      <c r="AM28" s="115"/>
      <c r="AN28" s="115"/>
      <c r="AO28" s="115"/>
      <c r="AP28" s="115"/>
      <c r="AQ28" s="115"/>
      <c r="AR28" s="115"/>
      <c r="AS28" s="115"/>
      <c r="AT28" s="1"/>
      <c r="AU28" s="1"/>
      <c r="AV28" s="20"/>
      <c r="BB28" s="144"/>
      <c r="BC28" s="144"/>
      <c r="BD28" s="144"/>
      <c r="BE28" s="144"/>
      <c r="BF28" s="144"/>
      <c r="BG28" s="144"/>
      <c r="BH28" s="144"/>
      <c r="BI28" s="144"/>
      <c r="BK28" s="86"/>
      <c r="BN28" s="103"/>
      <c r="BP28" s="11"/>
      <c r="BQ28" s="164"/>
    </row>
    <row r="29" spans="2:69" ht="18.75" customHeight="1" thickBot="1" x14ac:dyDescent="0.2">
      <c r="B29" s="9"/>
      <c r="C29" s="9"/>
      <c r="D29" s="9"/>
      <c r="J29" s="38"/>
      <c r="K29" s="38"/>
      <c r="L29" s="38"/>
      <c r="M29" s="21" t="s">
        <v>93</v>
      </c>
      <c r="N29" s="38" t="s">
        <v>118</v>
      </c>
      <c r="O29" s="13"/>
      <c r="P29" s="207"/>
      <c r="Q29" s="208"/>
      <c r="R29" s="157" t="s">
        <v>15</v>
      </c>
      <c r="S29" s="1"/>
      <c r="T29" s="205"/>
      <c r="U29" s="206"/>
      <c r="V29" s="157" t="s">
        <v>29</v>
      </c>
      <c r="W29" s="13"/>
      <c r="X29" s="115"/>
      <c r="Y29" s="115"/>
      <c r="Z29" s="115"/>
      <c r="AA29" s="115"/>
      <c r="AB29" s="210">
        <f>IF(OR($T$29="",$T$29=0,),IF(OR($P$29="",$P$29=0),0,IF($P$29&gt;3,$P$29+2,5)),IF(OR($P$29="",$P$29&lt;3),5,$P$29+2))</f>
        <v>0</v>
      </c>
      <c r="AC29" s="210"/>
      <c r="AD29" s="1" t="s">
        <v>15</v>
      </c>
      <c r="AE29" s="115"/>
      <c r="AF29" s="211">
        <f>IF($P$29&lt;3,0,$T$29)</f>
        <v>0</v>
      </c>
      <c r="AG29" s="211"/>
      <c r="AH29" s="1" t="s">
        <v>21</v>
      </c>
      <c r="AI29" s="115"/>
      <c r="AJ29" s="212" t="s">
        <v>118</v>
      </c>
      <c r="AK29" s="212"/>
      <c r="AL29" s="212"/>
      <c r="AM29" s="207"/>
      <c r="AN29" s="208"/>
      <c r="AO29" s="210" t="s">
        <v>15</v>
      </c>
      <c r="AP29" s="210"/>
      <c r="AQ29" s="205"/>
      <c r="AR29" s="206"/>
      <c r="AS29" s="1" t="s">
        <v>21</v>
      </c>
      <c r="AT29" s="1"/>
      <c r="AU29" s="1"/>
      <c r="AV29" s="20"/>
      <c r="BB29" s="144"/>
      <c r="BC29" s="144"/>
      <c r="BD29" s="144"/>
      <c r="BE29" s="144"/>
      <c r="BF29" s="144"/>
      <c r="BG29" s="144"/>
      <c r="BH29" s="144"/>
      <c r="BI29" s="144"/>
      <c r="BK29" s="86"/>
      <c r="BN29" s="103"/>
      <c r="BP29" s="11"/>
      <c r="BQ29" s="164"/>
    </row>
    <row r="30" spans="2:69" ht="15" customHeight="1" thickBot="1" x14ac:dyDescent="0.2">
      <c r="B30" s="9"/>
      <c r="C30" s="9"/>
      <c r="D30" s="9"/>
      <c r="M30" s="38"/>
      <c r="N30" s="38"/>
      <c r="O30" s="13"/>
      <c r="P30" s="115"/>
      <c r="Q30" s="115"/>
      <c r="R30" s="115"/>
      <c r="S30" s="1"/>
      <c r="T30" s="115"/>
      <c r="U30" s="115"/>
      <c r="V30" s="214" t="str">
        <f>IF(P29&gt;=3,"",IF(P29*60+T29&gt;0,"※走行時間は最低３時間のため＋２時間で５時間となります",""))</f>
        <v/>
      </c>
      <c r="W30" s="214"/>
      <c r="X30" s="214"/>
      <c r="Y30" s="214"/>
      <c r="Z30" s="214"/>
      <c r="AA30" s="214"/>
      <c r="AB30" s="214"/>
      <c r="AC30" s="214"/>
      <c r="AD30" s="214"/>
      <c r="AE30" s="214"/>
      <c r="AF30" s="214"/>
      <c r="AG30" s="214"/>
      <c r="AH30" s="214"/>
      <c r="AI30" s="214"/>
      <c r="AJ30" s="214"/>
      <c r="AK30" s="115"/>
      <c r="AL30" s="115"/>
      <c r="AM30" s="115"/>
      <c r="AN30" s="115"/>
      <c r="AO30" s="115"/>
      <c r="AP30" s="115"/>
      <c r="AQ30" s="115"/>
      <c r="AR30" s="115"/>
      <c r="AS30" s="115"/>
      <c r="AT30" s="1"/>
      <c r="AU30" s="1"/>
      <c r="AV30" s="20"/>
      <c r="BB30" s="144"/>
      <c r="BC30" s="144"/>
      <c r="BD30" s="144"/>
      <c r="BE30" s="144"/>
      <c r="BF30" s="144"/>
      <c r="BG30" s="144"/>
      <c r="BH30" s="144"/>
      <c r="BI30" s="144"/>
      <c r="BK30" s="86"/>
      <c r="BN30" s="103"/>
      <c r="BP30" s="11"/>
      <c r="BQ30" s="164"/>
    </row>
    <row r="31" spans="2:69" ht="18.75" customHeight="1" thickBot="1" x14ac:dyDescent="0.2">
      <c r="B31" s="9"/>
      <c r="C31" s="9"/>
      <c r="D31" s="9"/>
      <c r="J31" s="38"/>
      <c r="K31" s="38"/>
      <c r="L31" s="38"/>
      <c r="M31" s="21" t="s">
        <v>93</v>
      </c>
      <c r="N31" s="38" t="s">
        <v>119</v>
      </c>
      <c r="O31" s="13"/>
      <c r="P31" s="207"/>
      <c r="Q31" s="208"/>
      <c r="R31" s="157" t="s">
        <v>15</v>
      </c>
      <c r="S31" s="1"/>
      <c r="T31" s="205"/>
      <c r="U31" s="206"/>
      <c r="V31" s="157" t="s">
        <v>29</v>
      </c>
      <c r="W31" s="13"/>
      <c r="X31" s="115"/>
      <c r="Y31" s="115"/>
      <c r="Z31" s="115"/>
      <c r="AA31" s="115"/>
      <c r="AB31" s="210">
        <f>IF(OR($T$31="",$T$31=0,),IF(OR($P$31="",$P$31=0),0,IF($P$31&gt;3,$P$31+2,5)),IF(OR($P$31="",$P$31&lt;3),5,$P$31+2))</f>
        <v>0</v>
      </c>
      <c r="AC31" s="210"/>
      <c r="AD31" s="1" t="s">
        <v>15</v>
      </c>
      <c r="AE31" s="115"/>
      <c r="AF31" s="211">
        <f>IF($P$31&lt;3,0,$T$31)</f>
        <v>0</v>
      </c>
      <c r="AG31" s="211"/>
      <c r="AH31" s="1" t="s">
        <v>21</v>
      </c>
      <c r="AI31" s="115"/>
      <c r="AJ31" s="212" t="s">
        <v>120</v>
      </c>
      <c r="AK31" s="212"/>
      <c r="AL31" s="212"/>
      <c r="AM31" s="207"/>
      <c r="AN31" s="208"/>
      <c r="AO31" s="210" t="s">
        <v>15</v>
      </c>
      <c r="AP31" s="210"/>
      <c r="AQ31" s="205"/>
      <c r="AR31" s="206"/>
      <c r="AS31" s="1" t="s">
        <v>21</v>
      </c>
      <c r="AT31" s="1"/>
      <c r="AU31" s="1"/>
      <c r="AV31" s="20"/>
      <c r="BB31" s="144"/>
      <c r="BC31" s="144"/>
      <c r="BD31" s="144"/>
      <c r="BE31" s="144"/>
      <c r="BF31" s="144"/>
      <c r="BG31" s="144"/>
      <c r="BH31" s="144"/>
      <c r="BI31" s="144"/>
      <c r="BK31" s="86"/>
      <c r="BN31" s="103"/>
      <c r="BP31" s="11"/>
      <c r="BQ31" s="164"/>
    </row>
    <row r="32" spans="2:69" ht="15" customHeight="1" x14ac:dyDescent="0.15">
      <c r="B32" s="9"/>
      <c r="C32" s="9"/>
      <c r="D32" s="9"/>
      <c r="M32" s="38"/>
      <c r="N32" s="38"/>
      <c r="O32" s="13"/>
      <c r="P32" s="115"/>
      <c r="Q32" s="115"/>
      <c r="R32" s="115"/>
      <c r="S32" s="1"/>
      <c r="T32" s="115"/>
      <c r="U32" s="115"/>
      <c r="V32" s="214" t="str">
        <f>IF(P31&gt;=3,"",IF(P31*60+T31&gt;0,"※走行時間は最低３時間のため＋２時間で５時間となります",""))</f>
        <v/>
      </c>
      <c r="W32" s="214"/>
      <c r="X32" s="214"/>
      <c r="Y32" s="214"/>
      <c r="Z32" s="214"/>
      <c r="AA32" s="214"/>
      <c r="AB32" s="214"/>
      <c r="AC32" s="214"/>
      <c r="AD32" s="214"/>
      <c r="AE32" s="214"/>
      <c r="AF32" s="214"/>
      <c r="AG32" s="214"/>
      <c r="AH32" s="214"/>
      <c r="AI32" s="214"/>
      <c r="AJ32" s="214"/>
      <c r="AK32" s="115"/>
      <c r="AL32" s="115"/>
      <c r="AM32" s="115"/>
      <c r="AN32" s="115"/>
      <c r="AO32" s="115"/>
      <c r="AP32" s="115"/>
      <c r="AQ32" s="115"/>
      <c r="AR32" s="115"/>
      <c r="AS32" s="115"/>
      <c r="AT32" s="1"/>
      <c r="AU32" s="1"/>
      <c r="AV32" s="20"/>
      <c r="BB32" s="144"/>
      <c r="BC32" s="144"/>
      <c r="BD32" s="144"/>
      <c r="BE32" s="144"/>
      <c r="BF32" s="144"/>
      <c r="BG32" s="144"/>
      <c r="BH32" s="144"/>
      <c r="BI32" s="144"/>
      <c r="BK32" s="86"/>
      <c r="BN32" s="103"/>
      <c r="BP32" s="11"/>
      <c r="BQ32" s="164"/>
    </row>
    <row r="33" spans="2:69" ht="19.5" customHeight="1" x14ac:dyDescent="0.15">
      <c r="B33" s="9"/>
      <c r="C33" s="9"/>
      <c r="D33" s="9"/>
      <c r="W33" s="1"/>
      <c r="Z33" s="106" t="s">
        <v>22</v>
      </c>
      <c r="AC33" s="210">
        <f>ROUND(((+AB13+AB15+AB17+AB19+AB21+AB23+AB25+AB27+AB29+AB31)*60+AF13+AF15+AF17+AF19+AF21+AF23+AF25+AF27+AF29+AF31)/60,0)</f>
        <v>12</v>
      </c>
      <c r="AD33" s="210"/>
      <c r="AE33" s="210"/>
      <c r="AF33" s="1" t="s">
        <v>15</v>
      </c>
      <c r="AK33" s="5" t="s">
        <v>38</v>
      </c>
      <c r="AQ33" s="210">
        <f>ROUND(((+AM13+AM15+AM17+AM19+AM21+AM23+AM25+AM27+AM29+AM31)*60+AQ13+AQ15+AQ17+AQ19+AQ21+AQ23+AQ25+AQ27+AQ29+AQ31)/60,0)</f>
        <v>2</v>
      </c>
      <c r="AR33" s="210"/>
      <c r="AS33" s="1" t="s">
        <v>15</v>
      </c>
      <c r="AV33" s="14"/>
      <c r="AW33" s="144"/>
      <c r="BB33" s="144"/>
      <c r="BC33" s="144"/>
      <c r="BK33" s="86"/>
      <c r="BN33" s="103"/>
      <c r="BP33" s="11"/>
      <c r="BQ33" s="164"/>
    </row>
    <row r="34" spans="2:69" ht="15" customHeight="1" x14ac:dyDescent="0.15">
      <c r="B34" s="9"/>
      <c r="C34" s="9"/>
      <c r="D34" s="9"/>
      <c r="Y34" s="48"/>
      <c r="Z34" s="48"/>
      <c r="AA34" s="48"/>
      <c r="AC34" s="48"/>
      <c r="AD34" s="48" t="str">
        <f>IF(OR(MOD(AF13+AF15+AF17,60)&gt;0,MOD(AQ13+AQ15+AQ17,60)&gt;0),"※３０分未満は切り捨て、３０分以上は１時間に切り上げとなります","")</f>
        <v/>
      </c>
      <c r="AE34" s="48"/>
      <c r="AF34" s="48"/>
      <c r="AG34" s="48"/>
      <c r="AH34" s="48"/>
      <c r="AI34" s="48"/>
      <c r="AJ34" s="48"/>
      <c r="AK34" s="48"/>
      <c r="AL34" s="48"/>
      <c r="AM34" s="48"/>
      <c r="AN34" s="48"/>
      <c r="AO34" s="48"/>
      <c r="AP34" s="48"/>
      <c r="AQ34" s="48"/>
      <c r="AR34" s="48"/>
      <c r="AY34" s="145"/>
      <c r="BK34" s="86"/>
      <c r="BN34" s="103"/>
      <c r="BP34" s="11"/>
      <c r="BQ34" s="164"/>
    </row>
    <row r="35" spans="2:69" ht="6" customHeight="1" x14ac:dyDescent="0.15">
      <c r="B35" s="9"/>
      <c r="C35" s="9"/>
      <c r="D35" s="9"/>
      <c r="N35" s="43"/>
      <c r="O35" s="43"/>
      <c r="P35" s="43"/>
      <c r="Q35" s="43"/>
      <c r="R35" s="43"/>
      <c r="S35" s="43"/>
      <c r="T35" s="43"/>
      <c r="U35" s="43"/>
      <c r="V35" s="43"/>
      <c r="W35" s="43"/>
      <c r="X35" s="43"/>
      <c r="Y35" s="43"/>
      <c r="Z35" s="43"/>
      <c r="AA35" s="43"/>
      <c r="AB35" s="43"/>
      <c r="AC35" s="43"/>
      <c r="AK35" s="38"/>
      <c r="AN35" s="15"/>
      <c r="AZ35" s="165"/>
      <c r="BC35" s="141"/>
      <c r="BE35" s="143"/>
      <c r="BF35" s="166"/>
    </row>
    <row r="36" spans="2:69" ht="14.25" customHeight="1" x14ac:dyDescent="0.15">
      <c r="B36" s="9"/>
      <c r="C36" s="9"/>
      <c r="D36" s="9"/>
      <c r="M36" s="8"/>
      <c r="N36" s="217"/>
      <c r="O36" s="217"/>
      <c r="P36" s="217"/>
      <c r="Q36" s="44"/>
      <c r="R36" s="151"/>
      <c r="S36" s="151" t="s">
        <v>108</v>
      </c>
      <c r="T36" s="38"/>
      <c r="U36" s="43"/>
      <c r="V36" s="43"/>
      <c r="W36" s="43"/>
      <c r="X36" s="43"/>
      <c r="Y36" s="43"/>
      <c r="Z36" s="43"/>
      <c r="AA36" s="43"/>
      <c r="AB36" s="43"/>
      <c r="AC36" s="43"/>
      <c r="AN36" s="15"/>
      <c r="AZ36" s="165"/>
      <c r="BC36" s="141"/>
      <c r="BE36" s="143"/>
      <c r="BF36" s="166"/>
    </row>
    <row r="37" spans="2:69" ht="19.5" customHeight="1" x14ac:dyDescent="0.15">
      <c r="B37" s="9"/>
      <c r="C37" s="9"/>
      <c r="D37" s="9"/>
      <c r="G37" s="5" t="s">
        <v>20</v>
      </c>
      <c r="N37" s="224" t="s">
        <v>11</v>
      </c>
      <c r="O37" s="224"/>
      <c r="P37" s="224"/>
      <c r="Q37" s="36"/>
      <c r="R37" s="218">
        <f ca="1">VLOOKUP($AW$10,INDIRECT(VLOOKUP($AW$5,$AW$40:$AX$49,2,FALSE)),4,FALSE)</f>
        <v>120</v>
      </c>
      <c r="S37" s="218"/>
      <c r="T37" s="218"/>
      <c r="U37" s="16" t="s">
        <v>89</v>
      </c>
      <c r="AJ37" s="8"/>
      <c r="AK37" s="8"/>
      <c r="AL37" s="8"/>
      <c r="BB37" s="141"/>
    </row>
    <row r="38" spans="2:69" ht="6" customHeight="1" thickBot="1" x14ac:dyDescent="0.2">
      <c r="B38" s="9"/>
      <c r="C38" s="9"/>
      <c r="D38" s="9"/>
      <c r="AV38" s="14"/>
      <c r="AW38" s="143"/>
      <c r="BM38" s="103"/>
    </row>
    <row r="39" spans="2:69" ht="19.5" customHeight="1" thickBot="1" x14ac:dyDescent="0.2">
      <c r="B39" s="9"/>
      <c r="C39" s="9"/>
      <c r="D39" s="9"/>
      <c r="J39" s="5" t="s">
        <v>17</v>
      </c>
      <c r="N39" s="207">
        <v>100</v>
      </c>
      <c r="O39" s="236"/>
      <c r="P39" s="208"/>
      <c r="Q39" s="5" t="s">
        <v>18</v>
      </c>
      <c r="R39" s="212" t="str">
        <f>IF(T39="","","→")</f>
        <v/>
      </c>
      <c r="S39" s="212"/>
      <c r="T39" s="210" t="str">
        <f>IF(MOD(N39,10)&gt;0,ROUNDUP(N39,-1),"")</f>
        <v/>
      </c>
      <c r="U39" s="210"/>
      <c r="V39" s="210"/>
      <c r="W39" s="38" t="str">
        <f>IF(T39="","","㎞")</f>
        <v/>
      </c>
      <c r="X39" s="46"/>
      <c r="Y39" s="47"/>
    </row>
    <row r="40" spans="2:69" ht="14.25" customHeight="1" x14ac:dyDescent="0.15">
      <c r="B40" s="9"/>
      <c r="C40" s="9"/>
      <c r="D40" s="9"/>
      <c r="Q40" s="48" t="str">
        <f>IF(T39="","","１０㎞未満は１０㎞に切り上げとなります")</f>
        <v/>
      </c>
      <c r="AV40" s="14"/>
      <c r="AW40" s="24">
        <v>1</v>
      </c>
      <c r="AX40" s="24" t="s">
        <v>77</v>
      </c>
    </row>
    <row r="41" spans="2:69" ht="9.75" customHeight="1" x14ac:dyDescent="0.15">
      <c r="B41" s="9"/>
      <c r="C41" s="9"/>
      <c r="D41" s="9"/>
      <c r="AW41" s="24">
        <v>2</v>
      </c>
      <c r="AX41" s="24" t="s">
        <v>78</v>
      </c>
    </row>
    <row r="42" spans="2:69" ht="15" hidden="1" customHeight="1" x14ac:dyDescent="0.15">
      <c r="B42" s="9"/>
      <c r="C42" s="9"/>
      <c r="D42" s="9"/>
      <c r="J42" s="49"/>
      <c r="K42" s="49"/>
      <c r="M42" s="116"/>
      <c r="N42" s="116"/>
      <c r="O42" s="116"/>
      <c r="P42" s="116"/>
      <c r="Q42" s="116"/>
      <c r="S42" s="116"/>
      <c r="T42" s="116"/>
      <c r="U42" s="116"/>
      <c r="V42" s="116"/>
      <c r="W42" s="116"/>
      <c r="X42" s="116"/>
      <c r="Y42" s="9"/>
      <c r="Z42" s="8"/>
      <c r="AA42" s="116"/>
      <c r="AB42" s="116"/>
      <c r="AC42" s="116"/>
      <c r="AD42" s="116"/>
      <c r="AE42" s="116"/>
      <c r="AF42" s="116"/>
      <c r="AG42" s="116"/>
      <c r="AH42" s="116"/>
      <c r="AI42" s="116"/>
      <c r="AJ42" s="116"/>
      <c r="AK42" s="116"/>
      <c r="AL42" s="116"/>
      <c r="AM42" s="116"/>
      <c r="AN42" s="116"/>
      <c r="AO42" s="116"/>
      <c r="AP42" s="116"/>
      <c r="AQ42" s="116"/>
      <c r="AR42" s="116"/>
      <c r="AS42" s="116"/>
      <c r="AT42" s="106"/>
      <c r="AU42" s="106"/>
      <c r="AV42" s="21"/>
      <c r="AW42" s="24">
        <v>3</v>
      </c>
      <c r="AX42" s="24" t="s">
        <v>79</v>
      </c>
    </row>
    <row r="43" spans="2:69" ht="15" customHeight="1" x14ac:dyDescent="0.15">
      <c r="B43" s="9"/>
      <c r="C43" s="9"/>
      <c r="D43" s="9"/>
      <c r="AW43" s="24">
        <v>4</v>
      </c>
      <c r="AX43" s="24" t="s">
        <v>80</v>
      </c>
    </row>
    <row r="44" spans="2:69" ht="18" customHeight="1" x14ac:dyDescent="0.15">
      <c r="B44" s="9"/>
      <c r="C44" s="9"/>
      <c r="D44" s="9"/>
      <c r="E44" s="5" t="s">
        <v>32</v>
      </c>
      <c r="I44" s="5" t="s">
        <v>36</v>
      </c>
      <c r="AW44" s="24">
        <v>5</v>
      </c>
      <c r="AX44" s="24" t="s">
        <v>81</v>
      </c>
    </row>
    <row r="45" spans="2:69" ht="15" customHeight="1" x14ac:dyDescent="0.15">
      <c r="B45" s="9"/>
      <c r="C45" s="9"/>
      <c r="D45" s="9"/>
      <c r="K45" s="212" t="s">
        <v>12</v>
      </c>
      <c r="L45" s="212"/>
      <c r="M45" s="212"/>
      <c r="O45" s="5" t="s">
        <v>33</v>
      </c>
      <c r="S45" s="38"/>
      <c r="U45" s="212" t="s">
        <v>11</v>
      </c>
      <c r="V45" s="212"/>
      <c r="W45" s="212"/>
      <c r="Y45" s="212" t="s">
        <v>17</v>
      </c>
      <c r="Z45" s="212"/>
      <c r="AA45" s="212"/>
      <c r="AB45" s="212"/>
      <c r="AW45" s="24">
        <v>6</v>
      </c>
      <c r="AX45" s="24" t="s">
        <v>82</v>
      </c>
    </row>
    <row r="46" spans="2:69" hidden="1" x14ac:dyDescent="0.15">
      <c r="B46" s="9"/>
      <c r="C46" s="9"/>
      <c r="D46" s="9"/>
      <c r="J46" s="106"/>
      <c r="K46" s="222"/>
      <c r="L46" s="222"/>
      <c r="M46" s="222"/>
      <c r="N46" s="103"/>
      <c r="O46" s="229"/>
      <c r="P46" s="229"/>
      <c r="Q46" s="229"/>
      <c r="S46" s="103"/>
      <c r="T46" s="108"/>
      <c r="U46" s="222"/>
      <c r="V46" s="222"/>
      <c r="W46" s="222"/>
      <c r="X46" s="103"/>
      <c r="Y46" s="228"/>
      <c r="Z46" s="228"/>
      <c r="AA46" s="228"/>
      <c r="AB46" s="228"/>
      <c r="AF46" s="222"/>
      <c r="AG46" s="222"/>
      <c r="AH46" s="222"/>
      <c r="AI46" s="222"/>
      <c r="AJ46" s="222"/>
      <c r="AK46" s="222"/>
      <c r="AL46" s="8"/>
      <c r="AW46" s="24">
        <v>7</v>
      </c>
      <c r="AX46" s="24" t="s">
        <v>83</v>
      </c>
    </row>
    <row r="47" spans="2:69" ht="7.5" customHeight="1" x14ac:dyDescent="0.15">
      <c r="B47" s="9"/>
      <c r="C47" s="9"/>
      <c r="D47" s="9"/>
      <c r="AW47" s="24">
        <v>8</v>
      </c>
      <c r="AX47" s="24" t="s">
        <v>84</v>
      </c>
    </row>
    <row r="48" spans="2:69" x14ac:dyDescent="0.15">
      <c r="B48" s="9"/>
      <c r="C48" s="9"/>
      <c r="D48" s="9"/>
      <c r="J48" s="106" t="s">
        <v>34</v>
      </c>
      <c r="K48" s="222">
        <f ca="1">R10</f>
        <v>4770</v>
      </c>
      <c r="L48" s="222"/>
      <c r="M48" s="222"/>
      <c r="N48" s="103" t="s">
        <v>13</v>
      </c>
      <c r="O48" s="229">
        <f>+AC33</f>
        <v>12</v>
      </c>
      <c r="P48" s="229"/>
      <c r="Q48" s="229"/>
      <c r="R48" s="103" t="s">
        <v>35</v>
      </c>
      <c r="S48" s="103" t="s">
        <v>14</v>
      </c>
      <c r="T48" s="108" t="s">
        <v>34</v>
      </c>
      <c r="U48" s="222">
        <f ca="1">+R37</f>
        <v>120</v>
      </c>
      <c r="V48" s="222"/>
      <c r="W48" s="222"/>
      <c r="X48" s="103" t="s">
        <v>13</v>
      </c>
      <c r="Y48" s="228">
        <f>IF($T$39="",$N$39,$T$39)</f>
        <v>100</v>
      </c>
      <c r="Z48" s="228"/>
      <c r="AA48" s="228"/>
      <c r="AB48" s="228"/>
      <c r="AC48" s="5" t="s">
        <v>35</v>
      </c>
      <c r="AD48" s="5" t="s">
        <v>16</v>
      </c>
      <c r="AF48" s="222">
        <f ca="1">IF(OR(,$AC$33=0,,$N$39=""),"",ROUND(+K48*O48,0)+ROUND(U48*Y48,0))</f>
        <v>69240</v>
      </c>
      <c r="AG48" s="222"/>
      <c r="AH48" s="222"/>
      <c r="AI48" s="222"/>
      <c r="AJ48" s="222"/>
      <c r="AK48" s="222"/>
      <c r="AL48" s="8" t="s">
        <v>1</v>
      </c>
      <c r="AU48" s="103"/>
      <c r="AW48" s="24">
        <v>9</v>
      </c>
      <c r="AX48" s="24" t="s">
        <v>85</v>
      </c>
    </row>
    <row r="49" spans="2:64" ht="7.5" customHeight="1" x14ac:dyDescent="0.15">
      <c r="AT49" s="103"/>
      <c r="AU49" s="103"/>
      <c r="AV49" s="122"/>
      <c r="AW49" s="24">
        <v>10</v>
      </c>
      <c r="AX49" s="24" t="s">
        <v>86</v>
      </c>
      <c r="AY49" s="141"/>
      <c r="BD49" s="141"/>
      <c r="BE49" s="141"/>
      <c r="BF49" s="141"/>
      <c r="BG49" s="141"/>
      <c r="BH49" s="141"/>
      <c r="BI49" s="141"/>
    </row>
    <row r="50" spans="2:64" ht="13.5" hidden="1" customHeight="1" x14ac:dyDescent="0.15">
      <c r="B50" s="9"/>
      <c r="C50" s="9"/>
      <c r="D50" s="9"/>
      <c r="I50" s="219" t="str">
        <f>IF($AW$51=1,"","割引額")</f>
        <v/>
      </c>
      <c r="J50" s="219"/>
      <c r="K50" s="219"/>
      <c r="L50" s="212" t="str">
        <f>IF($AW$51=1,"","運賃額")</f>
        <v/>
      </c>
      <c r="M50" s="212"/>
      <c r="N50" s="212"/>
      <c r="O50" s="212"/>
      <c r="P50" s="50"/>
      <c r="Q50" s="234" t="str">
        <f>IF($AW$51=1,"","割引率")</f>
        <v/>
      </c>
      <c r="R50" s="234"/>
      <c r="S50" s="234"/>
      <c r="T50" s="234"/>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116"/>
      <c r="AS50" s="50"/>
      <c r="AT50" s="50"/>
    </row>
    <row r="51" spans="2:64" ht="13.5" hidden="1" customHeight="1" x14ac:dyDescent="0.15">
      <c r="B51" s="9"/>
      <c r="C51" s="9"/>
      <c r="D51" s="9"/>
      <c r="I51" s="219"/>
      <c r="J51" s="219"/>
      <c r="K51" s="219"/>
      <c r="L51" s="222" t="str">
        <f>IF($AW$51=1,"",+$AF$46)</f>
        <v/>
      </c>
      <c r="M51" s="222"/>
      <c r="N51" s="222"/>
      <c r="O51" s="222"/>
      <c r="P51" s="103" t="str">
        <f>IF($AW$51=1,"","×")</f>
        <v/>
      </c>
      <c r="Q51" s="235" t="str">
        <f>IF($AW$51=1,"",IF($AW$51=2,0.3,IF($AW$51=3,0.2,0)))</f>
        <v/>
      </c>
      <c r="R51" s="235"/>
      <c r="S51" s="235"/>
      <c r="T51" s="235"/>
      <c r="U51" s="5" t="str">
        <f>IF($AW$51=1,"","=")</f>
        <v/>
      </c>
      <c r="V51" s="222" t="str">
        <f>IF($AW$51=1,"",IF($AF$46="","",ROUND($L$51*$Q$51,0)))</f>
        <v/>
      </c>
      <c r="W51" s="222"/>
      <c r="X51" s="222"/>
      <c r="Y51" s="222"/>
      <c r="Z51" s="222"/>
      <c r="AB51" s="50"/>
      <c r="AC51" s="50"/>
      <c r="AD51" s="50"/>
      <c r="AE51" s="50"/>
      <c r="AF51" s="50"/>
      <c r="AG51" s="50"/>
      <c r="AH51" s="50"/>
      <c r="AI51" s="50"/>
      <c r="AJ51" s="50"/>
      <c r="AK51" s="50"/>
      <c r="AL51" s="50"/>
      <c r="AM51" s="50"/>
      <c r="AN51" s="50"/>
      <c r="AO51" s="50"/>
      <c r="AP51" s="50"/>
      <c r="AQ51" s="50"/>
      <c r="AR51" s="116"/>
      <c r="AS51" s="50"/>
      <c r="AT51" s="50"/>
      <c r="AW51" s="146">
        <v>1</v>
      </c>
    </row>
    <row r="52" spans="2:64" ht="8.25" hidden="1" customHeight="1" x14ac:dyDescent="0.15">
      <c r="B52" s="9"/>
      <c r="C52" s="9"/>
      <c r="D52" s="9"/>
      <c r="I52" s="38"/>
      <c r="J52" s="38"/>
      <c r="K52" s="38"/>
      <c r="L52" s="222"/>
      <c r="M52" s="222"/>
      <c r="N52" s="222"/>
      <c r="O52" s="222"/>
      <c r="P52" s="103"/>
      <c r="Q52" s="231"/>
      <c r="R52" s="231"/>
      <c r="S52" s="231"/>
      <c r="T52" s="231"/>
      <c r="V52" s="222"/>
      <c r="W52" s="222"/>
      <c r="X52" s="222"/>
      <c r="Y52" s="222"/>
      <c r="Z52" s="222"/>
      <c r="AA52" s="50"/>
      <c r="AB52" s="50"/>
      <c r="AC52" s="50"/>
      <c r="AD52" s="50"/>
      <c r="AE52" s="50"/>
      <c r="AF52" s="50"/>
      <c r="AG52" s="50"/>
      <c r="AH52" s="50"/>
      <c r="AI52" s="50"/>
      <c r="AJ52" s="50"/>
      <c r="AK52" s="50"/>
      <c r="AL52" s="50"/>
      <c r="AM52" s="50"/>
      <c r="AN52" s="50"/>
      <c r="AO52" s="50"/>
      <c r="AP52" s="50"/>
      <c r="AQ52" s="50"/>
      <c r="AR52" s="116"/>
      <c r="AS52" s="50"/>
      <c r="AT52" s="50"/>
      <c r="AW52" s="146"/>
    </row>
    <row r="53" spans="2:64" hidden="1" x14ac:dyDescent="0.15">
      <c r="I53" s="5" t="str">
        <f>IF($AW$51=1,"","割引後運賃額")</f>
        <v/>
      </c>
      <c r="O53" s="38" t="str">
        <f>IF($AW$51=1,"","時間制＋キロ制運賃額")</f>
        <v/>
      </c>
      <c r="P53" s="38"/>
      <c r="Q53" s="38"/>
      <c r="S53" s="38"/>
      <c r="T53" s="38"/>
      <c r="U53" s="38"/>
      <c r="V53" s="38"/>
      <c r="W53" s="103" t="str">
        <f>IF($AW$51=1,"","－")</f>
        <v/>
      </c>
      <c r="X53" s="38" t="str">
        <f>IF($AW$51=1,"","割引額")</f>
        <v/>
      </c>
      <c r="Y53" s="38"/>
      <c r="Z53" s="38"/>
      <c r="AA53" s="5" t="str">
        <f>IF($AW$51=1,"","＝")</f>
        <v/>
      </c>
      <c r="AB53" s="222" t="str">
        <f>IF($AW$51=1,"",(IF(AF46-V51&gt;AF48,AF46-V51,AF48)))</f>
        <v/>
      </c>
      <c r="AC53" s="222"/>
      <c r="AD53" s="222"/>
      <c r="AE53" s="222"/>
      <c r="AF53" s="222"/>
      <c r="AG53" s="222"/>
      <c r="AH53" s="8" t="str">
        <f>IF($AW$51=1,"","上限額①´")</f>
        <v/>
      </c>
      <c r="AI53" s="8"/>
      <c r="BL53" s="167"/>
    </row>
    <row r="54" spans="2:64" hidden="1" x14ac:dyDescent="0.15">
      <c r="O54" s="38"/>
      <c r="P54" s="38"/>
      <c r="Q54" s="38"/>
      <c r="S54" s="38"/>
      <c r="T54" s="38"/>
      <c r="U54" s="38"/>
      <c r="V54" s="38"/>
      <c r="W54" s="103"/>
      <c r="X54" s="38"/>
      <c r="Y54" s="38"/>
      <c r="Z54" s="38"/>
      <c r="AB54" s="19" t="str">
        <f>IF($AW$51=1,"","※割引は下限額を限度とします")</f>
        <v/>
      </c>
      <c r="AC54" s="109"/>
      <c r="AD54" s="109"/>
      <c r="AE54" s="109"/>
      <c r="AF54" s="109"/>
      <c r="AG54" s="109"/>
      <c r="AH54" s="8"/>
      <c r="AI54" s="8"/>
      <c r="BL54" s="167"/>
    </row>
    <row r="55" spans="2:64" x14ac:dyDescent="0.15">
      <c r="D55" s="16"/>
      <c r="E55" s="16"/>
      <c r="F55" s="16"/>
      <c r="G55" s="16"/>
      <c r="H55" s="16"/>
      <c r="I55" s="16"/>
      <c r="J55" s="16"/>
      <c r="K55" s="16"/>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22"/>
      <c r="AW55" s="141"/>
    </row>
    <row r="56" spans="2:64" ht="21" x14ac:dyDescent="0.15">
      <c r="B56" s="51" t="s">
        <v>40</v>
      </c>
      <c r="E56" s="5" t="s">
        <v>23</v>
      </c>
      <c r="I56" s="8" t="str">
        <f>IF($AQ$33=0,"","深夜早朝時間が発生しています")</f>
        <v>深夜早朝時間が発生しています</v>
      </c>
      <c r="K56" s="3"/>
    </row>
    <row r="57" spans="2:64" ht="21" x14ac:dyDescent="0.15">
      <c r="B57" s="51"/>
      <c r="I57" s="8"/>
      <c r="K57" s="3"/>
    </row>
    <row r="58" spans="2:64" ht="20.25" customHeight="1" x14ac:dyDescent="0.15">
      <c r="J58" s="5" t="str">
        <f>IF($AQ$33=0,"","割増率")</f>
        <v>割増率</v>
      </c>
      <c r="M58" s="237">
        <v>20</v>
      </c>
      <c r="N58" s="237"/>
      <c r="O58" s="3" t="str">
        <f>IF($AQ$33=0,"","％")</f>
        <v>％</v>
      </c>
      <c r="P58" s="156"/>
      <c r="Q58" s="237"/>
      <c r="R58" s="237"/>
      <c r="S58" s="3"/>
      <c r="T58" s="40"/>
      <c r="U58" s="40"/>
      <c r="V58" s="40"/>
      <c r="W58" s="3"/>
      <c r="Z58" s="1"/>
      <c r="AA58" s="1"/>
      <c r="AB58" s="1"/>
      <c r="AC58" s="1"/>
      <c r="AD58" s="1"/>
      <c r="AE58" s="1"/>
      <c r="AF58" s="1"/>
      <c r="AG58" s="1"/>
      <c r="AH58" s="1"/>
      <c r="AI58" s="1"/>
      <c r="AJ58" s="1"/>
      <c r="AK58" s="1"/>
      <c r="AL58" s="1"/>
      <c r="AM58" s="1"/>
      <c r="AN58" s="1"/>
      <c r="AO58" s="1"/>
      <c r="AP58" s="1"/>
      <c r="AQ58" s="1"/>
      <c r="AR58" s="1"/>
      <c r="AS58" s="1"/>
      <c r="AT58" s="1"/>
      <c r="AU58" s="1"/>
      <c r="AV58" s="20"/>
      <c r="AW58" s="144"/>
      <c r="AX58" s="144"/>
      <c r="AY58" s="144"/>
    </row>
    <row r="59" spans="2:64" x14ac:dyDescent="0.15">
      <c r="J59" s="8"/>
      <c r="K59" s="8"/>
      <c r="L59" s="8"/>
      <c r="M59" s="8"/>
      <c r="N59" s="8"/>
      <c r="O59" s="8"/>
      <c r="P59" s="8"/>
      <c r="Q59" s="8"/>
      <c r="R59" s="122"/>
      <c r="S59" s="8"/>
      <c r="T59" s="8"/>
      <c r="U59" s="8"/>
      <c r="V59" s="8"/>
      <c r="W59" s="8"/>
      <c r="AB59" s="212"/>
      <c r="AC59" s="212"/>
      <c r="AD59" s="212"/>
      <c r="AE59" s="212"/>
      <c r="AF59" s="38"/>
      <c r="AG59" s="212"/>
      <c r="AH59" s="212"/>
      <c r="AJ59" s="212"/>
      <c r="AK59" s="212"/>
      <c r="AL59" s="212"/>
      <c r="AM59" s="212"/>
      <c r="AN59" s="212"/>
      <c r="AV59" s="113"/>
      <c r="AW59" s="168"/>
      <c r="AX59" s="168"/>
      <c r="AY59" s="144"/>
      <c r="AZ59" s="144"/>
    </row>
    <row r="60" spans="2:64" ht="20.25" customHeight="1" x14ac:dyDescent="0.15">
      <c r="M60" s="115"/>
      <c r="N60" s="115"/>
      <c r="O60" s="5" t="str">
        <f>IF($AQ$33=0,"","時間単価")</f>
        <v>時間単価</v>
      </c>
      <c r="P60" s="52"/>
      <c r="Q60" s="8"/>
      <c r="R60" s="158"/>
      <c r="S60" s="3" t="str">
        <f>IF($AQ$33=0,"","割増率")</f>
        <v>割増率</v>
      </c>
      <c r="T60" s="40"/>
      <c r="U60" s="40"/>
      <c r="V60" s="40"/>
      <c r="W60" s="3" t="str">
        <f>IF($AQ$33=0,"","深夜早朝時間計")</f>
        <v>深夜早朝時間計</v>
      </c>
      <c r="AB60" s="103"/>
      <c r="AC60" s="103"/>
      <c r="AD60" s="103"/>
      <c r="AE60" s="103"/>
      <c r="AF60" s="38"/>
      <c r="AG60" s="103"/>
      <c r="AH60" s="103"/>
      <c r="AJ60" s="103"/>
      <c r="AK60" s="103"/>
      <c r="AL60" s="103"/>
      <c r="AM60" s="103"/>
      <c r="AN60" s="103"/>
      <c r="AV60" s="113"/>
      <c r="AW60" s="168"/>
      <c r="AX60" s="168"/>
      <c r="AY60" s="144"/>
      <c r="AZ60" s="144"/>
    </row>
    <row r="61" spans="2:64" ht="18.75" hidden="1" customHeight="1" x14ac:dyDescent="0.15">
      <c r="H61" s="212"/>
      <c r="I61" s="212"/>
      <c r="J61" s="212"/>
      <c r="K61" s="8"/>
      <c r="N61" s="222"/>
      <c r="O61" s="222"/>
      <c r="P61" s="222"/>
      <c r="Q61" s="222"/>
      <c r="S61" s="231"/>
      <c r="T61" s="231"/>
      <c r="U61" s="103"/>
      <c r="V61" s="229"/>
      <c r="W61" s="229"/>
      <c r="X61" s="229"/>
      <c r="Y61" s="229"/>
      <c r="Z61" s="229"/>
      <c r="AA61" s="103"/>
      <c r="AB61" s="232"/>
      <c r="AC61" s="232"/>
      <c r="AD61" s="232"/>
      <c r="AE61" s="232"/>
      <c r="AF61" s="232"/>
      <c r="AJ61" s="53"/>
      <c r="AK61" s="53"/>
      <c r="AL61" s="53"/>
    </row>
    <row r="62" spans="2:64" ht="5.25" hidden="1" customHeight="1" x14ac:dyDescent="0.15">
      <c r="H62" s="116"/>
      <c r="N62" s="109"/>
      <c r="O62" s="109"/>
      <c r="P62" s="109"/>
      <c r="Q62" s="109"/>
      <c r="S62" s="110"/>
      <c r="T62" s="110"/>
      <c r="U62" s="38"/>
      <c r="V62" s="112"/>
      <c r="W62" s="112"/>
      <c r="X62" s="112"/>
      <c r="Y62" s="112"/>
      <c r="Z62" s="112"/>
      <c r="AB62" s="54"/>
      <c r="AC62" s="54"/>
      <c r="AD62" s="54"/>
      <c r="AE62" s="54"/>
      <c r="AF62" s="54"/>
      <c r="AH62" s="13"/>
      <c r="AI62" s="13"/>
      <c r="AJ62" s="13"/>
      <c r="AK62" s="1"/>
      <c r="AL62" s="1"/>
      <c r="AN62" s="53"/>
    </row>
    <row r="63" spans="2:64" ht="13.5" hidden="1" customHeight="1" x14ac:dyDescent="0.15">
      <c r="D63" s="212"/>
      <c r="E63" s="212"/>
      <c r="F63" s="212"/>
      <c r="G63" s="212"/>
      <c r="H63" s="212"/>
      <c r="I63" s="212"/>
      <c r="J63" s="212"/>
      <c r="K63" s="34"/>
      <c r="L63" s="38"/>
      <c r="M63" s="38"/>
      <c r="N63" s="222"/>
      <c r="O63" s="222"/>
      <c r="P63" s="222"/>
      <c r="Q63" s="222"/>
      <c r="S63" s="233"/>
      <c r="T63" s="233"/>
      <c r="U63" s="103"/>
      <c r="V63" s="229"/>
      <c r="W63" s="229"/>
      <c r="X63" s="229"/>
      <c r="Y63" s="229"/>
      <c r="Z63" s="229"/>
      <c r="AA63" s="103"/>
      <c r="AB63" s="232"/>
      <c r="AC63" s="232"/>
      <c r="AD63" s="232"/>
      <c r="AE63" s="232"/>
      <c r="AF63" s="232"/>
      <c r="AH63" s="13"/>
      <c r="AI63" s="232"/>
      <c r="AJ63" s="232"/>
      <c r="AK63" s="232"/>
      <c r="AL63" s="232"/>
      <c r="AM63" s="232"/>
      <c r="AN63" s="34"/>
      <c r="AV63" s="113"/>
    </row>
    <row r="64" spans="2:64" ht="13.5" hidden="1" customHeight="1" x14ac:dyDescent="0.15">
      <c r="D64" s="103"/>
      <c r="E64" s="103"/>
      <c r="F64" s="103"/>
      <c r="G64" s="103"/>
      <c r="H64" s="103"/>
      <c r="I64" s="103"/>
      <c r="J64" s="103"/>
      <c r="K64" s="34"/>
      <c r="L64" s="38"/>
      <c r="M64" s="38"/>
      <c r="N64" s="109"/>
      <c r="O64" s="109"/>
      <c r="P64" s="109"/>
      <c r="Q64" s="109"/>
      <c r="S64" s="110"/>
      <c r="T64" s="110"/>
      <c r="U64" s="103"/>
      <c r="V64" s="112"/>
      <c r="W64" s="112"/>
      <c r="X64" s="112"/>
      <c r="Y64" s="112"/>
      <c r="Z64" s="112"/>
      <c r="AA64" s="103"/>
      <c r="AB64" s="150"/>
      <c r="AC64" s="150"/>
      <c r="AD64" s="150"/>
      <c r="AE64" s="150"/>
      <c r="AF64" s="150"/>
      <c r="AH64" s="157"/>
      <c r="AI64" s="150"/>
      <c r="AJ64" s="150"/>
      <c r="AK64" s="150"/>
      <c r="AL64" s="150"/>
      <c r="AM64" s="150"/>
      <c r="AN64" s="34"/>
      <c r="AO64" s="34"/>
      <c r="AP64" s="34"/>
      <c r="AV64" s="113"/>
    </row>
    <row r="65" spans="2:48" ht="19.5" hidden="1" customHeight="1" x14ac:dyDescent="0.15">
      <c r="H65" s="116"/>
      <c r="N65" s="222"/>
      <c r="O65" s="222"/>
      <c r="P65" s="222"/>
      <c r="Q65" s="222"/>
      <c r="S65" s="222"/>
      <c r="T65" s="222"/>
      <c r="U65" s="38"/>
      <c r="V65" s="229"/>
      <c r="W65" s="229"/>
      <c r="X65" s="229"/>
      <c r="Y65" s="229"/>
      <c r="Z65" s="229"/>
      <c r="AB65" s="230"/>
      <c r="AC65" s="230"/>
      <c r="AD65" s="230"/>
      <c r="AE65" s="230"/>
      <c r="AF65" s="230"/>
    </row>
    <row r="66" spans="2:48" x14ac:dyDescent="0.15">
      <c r="H66" s="116"/>
      <c r="N66" s="109"/>
      <c r="O66" s="109"/>
      <c r="P66" s="109"/>
      <c r="Q66" s="109"/>
      <c r="S66" s="110"/>
      <c r="T66" s="110"/>
      <c r="U66" s="38"/>
      <c r="V66" s="112"/>
      <c r="W66" s="112"/>
      <c r="X66" s="112"/>
      <c r="Y66" s="112"/>
      <c r="Z66" s="112"/>
      <c r="AB66" s="54"/>
      <c r="AC66" s="54"/>
      <c r="AD66" s="54"/>
      <c r="AE66" s="54"/>
      <c r="AF66" s="54"/>
      <c r="AH66" s="13"/>
      <c r="AI66" s="56"/>
      <c r="AJ66" s="56"/>
      <c r="AK66" s="56"/>
      <c r="AL66" s="56"/>
      <c r="AM66" s="56"/>
      <c r="AN66" s="57"/>
    </row>
    <row r="67" spans="2:48" x14ac:dyDescent="0.15">
      <c r="H67" s="226" t="str">
        <f>IF($AQ$33=0,"","(運    賃)")</f>
        <v>(運    賃)</v>
      </c>
      <c r="I67" s="226"/>
      <c r="J67" s="226"/>
      <c r="K67" s="226"/>
      <c r="L67" s="226"/>
      <c r="M67" s="226"/>
      <c r="N67" s="222">
        <f ca="1">IF($AQ$33=0,"",R10)</f>
        <v>4770</v>
      </c>
      <c r="O67" s="222"/>
      <c r="P67" s="222"/>
      <c r="Q67" s="222"/>
      <c r="R67" s="103" t="str">
        <f>IF($AQ$33=0,"","×")</f>
        <v>×</v>
      </c>
      <c r="S67" s="233">
        <f>IF($AQ$33=0,"",IF($M$58="","",+$M$58/100))</f>
        <v>0.2</v>
      </c>
      <c r="T67" s="233"/>
      <c r="U67" s="103" t="str">
        <f>IF($AQ$33=0,"","×")</f>
        <v>×</v>
      </c>
      <c r="V67" s="229">
        <f>IF($AQ$33=0,"",$AQ$33)</f>
        <v>2</v>
      </c>
      <c r="W67" s="229"/>
      <c r="X67" s="229"/>
      <c r="Y67" s="229"/>
      <c r="Z67" s="229"/>
      <c r="AA67" s="103" t="str">
        <f>IF($AQ$33=0,"","＝")</f>
        <v>＝</v>
      </c>
      <c r="AB67" s="232">
        <f ca="1">IF($AQ$33=0,"",IF(M58="","",ROUND(N67*S67*V67,0)))</f>
        <v>1908</v>
      </c>
      <c r="AC67" s="232"/>
      <c r="AD67" s="232"/>
      <c r="AE67" s="232"/>
      <c r="AF67" s="232"/>
    </row>
    <row r="68" spans="2:48" ht="6.75" hidden="1" customHeight="1" x14ac:dyDescent="0.15">
      <c r="H68" s="116"/>
      <c r="N68" s="109"/>
      <c r="O68" s="109"/>
      <c r="P68" s="109"/>
      <c r="Q68" s="109"/>
      <c r="S68" s="110"/>
      <c r="T68" s="110"/>
      <c r="U68" s="38"/>
      <c r="V68" s="112"/>
      <c r="W68" s="112"/>
      <c r="X68" s="112"/>
      <c r="Y68" s="112"/>
      <c r="Z68" s="112"/>
      <c r="AB68" s="54"/>
      <c r="AC68" s="54"/>
      <c r="AD68" s="54"/>
      <c r="AE68" s="54"/>
      <c r="AF68" s="54"/>
      <c r="AH68" s="13"/>
      <c r="AI68" s="56"/>
      <c r="AJ68" s="56"/>
      <c r="AK68" s="56"/>
      <c r="AL68" s="56"/>
      <c r="AM68" s="56"/>
      <c r="AN68" s="53"/>
    </row>
    <row r="69" spans="2:48" ht="13.5" customHeight="1" x14ac:dyDescent="0.15">
      <c r="D69" s="226" t="str">
        <f>IF($AQ$33=0,"",IF($AW$102=FALSE,"","　(交替運転者配置料金)"))</f>
        <v>　(交替運転者配置料金)</v>
      </c>
      <c r="E69" s="226"/>
      <c r="F69" s="226"/>
      <c r="G69" s="226"/>
      <c r="H69" s="226"/>
      <c r="I69" s="226"/>
      <c r="J69" s="226"/>
      <c r="K69" s="226"/>
      <c r="L69" s="226"/>
      <c r="M69" s="226"/>
      <c r="N69" s="222">
        <f ca="1">IF($AQ$33=0,"",IF($AW$102=FALSE,"",Q106))</f>
        <v>2430</v>
      </c>
      <c r="O69" s="222"/>
      <c r="P69" s="222"/>
      <c r="Q69" s="222"/>
      <c r="R69" s="103" t="str">
        <f>IF($AQ$33=0,"",IF($AW$102=FALSE,"","×"))</f>
        <v>×</v>
      </c>
      <c r="S69" s="233">
        <f>IF($AQ$33=0,"",IF($AW$102=FALSE,"",IF(M58="","",$M$58/100)))</f>
        <v>0.2</v>
      </c>
      <c r="T69" s="233"/>
      <c r="U69" s="103" t="str">
        <f>IF($AQ$33=0,"",IF($AW$102=FALSE,"","×"))</f>
        <v>×</v>
      </c>
      <c r="V69" s="229">
        <f>IF($AQ$33=0,"",IF($AW$102=FALSE,"",$AQ$33))</f>
        <v>2</v>
      </c>
      <c r="W69" s="229"/>
      <c r="X69" s="229"/>
      <c r="Y69" s="229"/>
      <c r="Z69" s="229"/>
      <c r="AA69" s="103" t="str">
        <f>IF($AQ$33=0,"","＝")</f>
        <v>＝</v>
      </c>
      <c r="AB69" s="232">
        <f ca="1">IF($AQ$33=0,"",IF($AW$102=FALSE,"",IF(M58="","",ROUND(N69*S69*V69,0))))</f>
        <v>972</v>
      </c>
      <c r="AC69" s="232"/>
      <c r="AD69" s="232"/>
      <c r="AE69" s="232"/>
      <c r="AF69" s="232"/>
      <c r="AH69" s="115" t="str">
        <f>IF($AQ$33=0,"","計")</f>
        <v>計</v>
      </c>
      <c r="AI69" s="232">
        <f ca="1">IF(AQ33=0,"",IF($AW$102=TRUE,AB67+AB69,AB67))</f>
        <v>2880</v>
      </c>
      <c r="AJ69" s="232"/>
      <c r="AK69" s="232"/>
      <c r="AL69" s="232"/>
      <c r="AM69" s="232"/>
      <c r="AN69" s="34" t="s">
        <v>23</v>
      </c>
      <c r="AO69" s="34"/>
      <c r="AP69" s="34"/>
      <c r="AV69" s="113"/>
    </row>
    <row r="70" spans="2:48" ht="13.5" customHeight="1" x14ac:dyDescent="0.15">
      <c r="D70" s="103"/>
      <c r="E70" s="103"/>
      <c r="F70" s="103"/>
      <c r="G70" s="103"/>
      <c r="H70" s="103"/>
      <c r="I70" s="103"/>
      <c r="J70" s="103"/>
      <c r="K70" s="34"/>
      <c r="M70" s="38"/>
      <c r="N70" s="109"/>
      <c r="O70" s="109"/>
      <c r="P70" s="109"/>
      <c r="Q70" s="109"/>
      <c r="S70" s="110"/>
      <c r="T70" s="110"/>
      <c r="U70" s="103"/>
      <c r="V70" s="112"/>
      <c r="W70" s="112"/>
      <c r="X70" s="112"/>
      <c r="Y70" s="112"/>
      <c r="Z70" s="112"/>
      <c r="AA70" s="103"/>
      <c r="AB70" s="150"/>
      <c r="AC70" s="150"/>
      <c r="AD70" s="150"/>
      <c r="AE70" s="150"/>
      <c r="AF70" s="150"/>
      <c r="AH70" s="9"/>
      <c r="AI70" s="9"/>
      <c r="AJ70" s="9"/>
      <c r="AK70" s="9"/>
      <c r="AL70" s="9"/>
      <c r="AM70" s="9"/>
      <c r="AN70" s="9"/>
      <c r="AO70" s="9"/>
      <c r="AP70" s="9"/>
      <c r="AV70" s="113"/>
    </row>
    <row r="71" spans="2:48" ht="13.5" hidden="1" customHeight="1" x14ac:dyDescent="0.15">
      <c r="D71" s="103"/>
      <c r="E71" s="103"/>
      <c r="F71" s="103"/>
      <c r="G71" s="103"/>
      <c r="H71" s="103"/>
      <c r="I71" s="103"/>
      <c r="J71" s="103"/>
      <c r="K71" s="34"/>
      <c r="M71" s="38"/>
      <c r="N71" s="222"/>
      <c r="O71" s="222"/>
      <c r="P71" s="222"/>
      <c r="Q71" s="222"/>
      <c r="S71" s="222"/>
      <c r="T71" s="222"/>
      <c r="U71" s="103"/>
      <c r="V71" s="229"/>
      <c r="W71" s="229"/>
      <c r="X71" s="229"/>
      <c r="Y71" s="229"/>
      <c r="Z71" s="229"/>
      <c r="AA71" s="103"/>
      <c r="AB71" s="232"/>
      <c r="AC71" s="232"/>
      <c r="AD71" s="232"/>
      <c r="AE71" s="232"/>
      <c r="AF71" s="232"/>
      <c r="AG71" s="56"/>
      <c r="AV71" s="113"/>
    </row>
    <row r="72" spans="2:48" ht="13.5" hidden="1" customHeight="1" x14ac:dyDescent="0.15">
      <c r="B72" s="113"/>
      <c r="C72" s="113"/>
      <c r="D72" s="113"/>
      <c r="F72" s="113"/>
      <c r="G72" s="103"/>
      <c r="H72" s="103"/>
      <c r="I72" s="103"/>
      <c r="J72" s="103"/>
      <c r="K72" s="34"/>
      <c r="M72" s="38"/>
      <c r="N72" s="109"/>
      <c r="O72" s="109"/>
      <c r="P72" s="109"/>
      <c r="Q72" s="109"/>
      <c r="S72" s="155"/>
      <c r="T72" s="110"/>
      <c r="U72" s="103"/>
      <c r="V72" s="112"/>
      <c r="W72" s="112"/>
      <c r="X72" s="112"/>
      <c r="Y72" s="112"/>
      <c r="Z72" s="112"/>
      <c r="AA72" s="103"/>
      <c r="AB72" s="150"/>
      <c r="AC72" s="150"/>
      <c r="AD72" s="150"/>
      <c r="AE72" s="150"/>
      <c r="AF72" s="150"/>
      <c r="AH72" s="115"/>
      <c r="AI72" s="150"/>
      <c r="AJ72" s="150"/>
      <c r="AK72" s="150"/>
      <c r="AL72" s="150"/>
      <c r="AM72" s="150"/>
      <c r="AN72" s="34"/>
      <c r="AO72" s="34"/>
      <c r="AP72" s="34"/>
      <c r="AV72" s="113"/>
    </row>
    <row r="73" spans="2:48" ht="24" hidden="1" customHeight="1" x14ac:dyDescent="0.15">
      <c r="D73" s="116"/>
      <c r="E73" s="103"/>
      <c r="F73" s="103"/>
      <c r="G73" s="103"/>
      <c r="H73" s="103"/>
      <c r="I73" s="103"/>
      <c r="J73" s="103"/>
      <c r="K73" s="34"/>
      <c r="M73" s="38"/>
      <c r="N73" s="109"/>
      <c r="O73" s="109"/>
      <c r="P73" s="109"/>
      <c r="Q73" s="109"/>
      <c r="S73" s="110"/>
      <c r="T73" s="110"/>
      <c r="U73" s="103"/>
      <c r="V73" s="112"/>
      <c r="W73" s="112"/>
      <c r="X73" s="112"/>
      <c r="Y73" s="112"/>
      <c r="Z73" s="112"/>
      <c r="AA73" s="103"/>
      <c r="AB73" s="150"/>
      <c r="AC73" s="150"/>
      <c r="AD73" s="150"/>
      <c r="AE73" s="150"/>
      <c r="AF73" s="150"/>
      <c r="AH73" s="115"/>
      <c r="AI73" s="150"/>
      <c r="AJ73" s="150"/>
      <c r="AK73" s="150"/>
      <c r="AL73" s="150"/>
      <c r="AM73" s="150"/>
      <c r="AN73" s="34"/>
      <c r="AO73" s="34"/>
      <c r="AP73" s="34"/>
      <c r="AV73" s="113"/>
    </row>
    <row r="74" spans="2:48" ht="13.5" hidden="1" customHeight="1" x14ac:dyDescent="0.15">
      <c r="H74" s="212"/>
      <c r="I74" s="212"/>
      <c r="J74" s="212"/>
      <c r="K74" s="8"/>
      <c r="N74" s="222"/>
      <c r="O74" s="222"/>
      <c r="P74" s="222"/>
      <c r="Q74" s="222"/>
      <c r="S74" s="231"/>
      <c r="T74" s="231"/>
      <c r="U74" s="103"/>
      <c r="V74" s="229"/>
      <c r="W74" s="229"/>
      <c r="X74" s="229"/>
      <c r="Y74" s="229"/>
      <c r="Z74" s="229"/>
      <c r="AA74" s="103"/>
      <c r="AB74" s="232"/>
      <c r="AC74" s="232"/>
      <c r="AD74" s="232"/>
      <c r="AE74" s="232"/>
      <c r="AF74" s="232"/>
      <c r="AJ74" s="53"/>
      <c r="AK74" s="53"/>
      <c r="AL74" s="53"/>
      <c r="AV74" s="113"/>
    </row>
    <row r="75" spans="2:48" ht="7.5" hidden="1" customHeight="1" x14ac:dyDescent="0.15">
      <c r="H75" s="116"/>
      <c r="N75" s="109"/>
      <c r="O75" s="109"/>
      <c r="P75" s="109"/>
      <c r="Q75" s="109"/>
      <c r="S75" s="110"/>
      <c r="T75" s="110"/>
      <c r="U75" s="38"/>
      <c r="V75" s="112"/>
      <c r="W75" s="112"/>
      <c r="X75" s="112"/>
      <c r="Y75" s="112"/>
      <c r="Z75" s="112"/>
      <c r="AB75" s="54"/>
      <c r="AC75" s="54"/>
      <c r="AD75" s="54"/>
      <c r="AE75" s="54"/>
      <c r="AF75" s="54"/>
      <c r="AH75" s="13"/>
      <c r="AI75" s="13"/>
      <c r="AJ75" s="13"/>
      <c r="AK75" s="1"/>
      <c r="AL75" s="1"/>
      <c r="AN75" s="53"/>
      <c r="AV75" s="113"/>
    </row>
    <row r="76" spans="2:48" ht="13.5" hidden="1" customHeight="1" x14ac:dyDescent="0.15">
      <c r="D76" s="212"/>
      <c r="E76" s="212"/>
      <c r="F76" s="212"/>
      <c r="G76" s="212"/>
      <c r="H76" s="212"/>
      <c r="I76" s="212"/>
      <c r="J76" s="212"/>
      <c r="K76" s="34"/>
      <c r="L76" s="38"/>
      <c r="M76" s="38"/>
      <c r="N76" s="222"/>
      <c r="O76" s="222"/>
      <c r="P76" s="222"/>
      <c r="Q76" s="222"/>
      <c r="S76" s="231"/>
      <c r="T76" s="231"/>
      <c r="U76" s="103"/>
      <c r="V76" s="229"/>
      <c r="W76" s="229"/>
      <c r="X76" s="229"/>
      <c r="Y76" s="229"/>
      <c r="Z76" s="229"/>
      <c r="AA76" s="103"/>
      <c r="AB76" s="232"/>
      <c r="AC76" s="232"/>
      <c r="AD76" s="232"/>
      <c r="AE76" s="232"/>
      <c r="AF76" s="232"/>
      <c r="AH76" s="115"/>
      <c r="AI76" s="232"/>
      <c r="AJ76" s="232"/>
      <c r="AK76" s="232"/>
      <c r="AL76" s="232"/>
      <c r="AM76" s="232"/>
      <c r="AN76" s="34"/>
      <c r="AO76" s="34"/>
      <c r="AP76" s="34"/>
      <c r="AV76" s="113"/>
    </row>
    <row r="77" spans="2:48" ht="13.5" hidden="1" customHeight="1" x14ac:dyDescent="0.15">
      <c r="H77" s="116"/>
      <c r="N77" s="109"/>
      <c r="O77" s="109"/>
      <c r="P77" s="109"/>
      <c r="Q77" s="109"/>
      <c r="S77" s="110"/>
      <c r="T77" s="110"/>
      <c r="U77" s="38"/>
      <c r="V77" s="112"/>
      <c r="W77" s="112"/>
      <c r="X77" s="112"/>
      <c r="Y77" s="112"/>
      <c r="Z77" s="112"/>
      <c r="AB77" s="54"/>
      <c r="AC77" s="54"/>
      <c r="AD77" s="54"/>
      <c r="AE77" s="54"/>
      <c r="AF77" s="54"/>
      <c r="AH77" s="13"/>
      <c r="AI77" s="56"/>
      <c r="AJ77" s="56"/>
      <c r="AK77" s="56"/>
      <c r="AL77" s="56"/>
      <c r="AM77" s="56"/>
      <c r="AN77" s="57"/>
      <c r="AV77" s="113"/>
    </row>
    <row r="78" spans="2:48" ht="13.5" hidden="1" customHeight="1" x14ac:dyDescent="0.15">
      <c r="H78" s="212"/>
      <c r="I78" s="212"/>
      <c r="J78" s="212"/>
      <c r="K78" s="8"/>
      <c r="N78" s="222"/>
      <c r="O78" s="222"/>
      <c r="P78" s="222"/>
      <c r="Q78" s="222"/>
      <c r="S78" s="231"/>
      <c r="T78" s="231"/>
      <c r="U78" s="103"/>
      <c r="V78" s="229"/>
      <c r="W78" s="229"/>
      <c r="X78" s="229"/>
      <c r="Y78" s="229"/>
      <c r="Z78" s="229"/>
      <c r="AA78" s="103"/>
      <c r="AB78" s="232"/>
      <c r="AC78" s="232"/>
      <c r="AD78" s="232"/>
      <c r="AE78" s="232"/>
      <c r="AF78" s="232"/>
      <c r="AV78" s="113"/>
    </row>
    <row r="79" spans="2:48" ht="7.5" hidden="1" customHeight="1" x14ac:dyDescent="0.15">
      <c r="H79" s="116"/>
      <c r="N79" s="109"/>
      <c r="O79" s="109"/>
      <c r="P79" s="109"/>
      <c r="Q79" s="109"/>
      <c r="S79" s="110"/>
      <c r="T79" s="110"/>
      <c r="U79" s="38"/>
      <c r="V79" s="112"/>
      <c r="W79" s="112"/>
      <c r="X79" s="112"/>
      <c r="Y79" s="112"/>
      <c r="Z79" s="112"/>
      <c r="AB79" s="54"/>
      <c r="AC79" s="54"/>
      <c r="AD79" s="54"/>
      <c r="AE79" s="54"/>
      <c r="AF79" s="54"/>
      <c r="AH79" s="13"/>
      <c r="AI79" s="56"/>
      <c r="AJ79" s="56"/>
      <c r="AK79" s="56"/>
      <c r="AL79" s="56"/>
      <c r="AM79" s="56"/>
      <c r="AN79" s="53"/>
      <c r="AV79" s="113"/>
    </row>
    <row r="80" spans="2:48" ht="13.5" hidden="1" customHeight="1" x14ac:dyDescent="0.15">
      <c r="D80" s="212"/>
      <c r="E80" s="212"/>
      <c r="F80" s="212"/>
      <c r="G80" s="212"/>
      <c r="H80" s="212"/>
      <c r="I80" s="212"/>
      <c r="J80" s="212"/>
      <c r="K80" s="34"/>
      <c r="M80" s="38"/>
      <c r="N80" s="222"/>
      <c r="O80" s="222"/>
      <c r="P80" s="222"/>
      <c r="Q80" s="222"/>
      <c r="S80" s="231"/>
      <c r="T80" s="231"/>
      <c r="U80" s="103"/>
      <c r="V80" s="229"/>
      <c r="W80" s="229"/>
      <c r="X80" s="229"/>
      <c r="Y80" s="229"/>
      <c r="Z80" s="229"/>
      <c r="AA80" s="103"/>
      <c r="AB80" s="232"/>
      <c r="AC80" s="232"/>
      <c r="AD80" s="232"/>
      <c r="AE80" s="232"/>
      <c r="AF80" s="232"/>
      <c r="AH80" s="115"/>
      <c r="AI80" s="232"/>
      <c r="AJ80" s="232"/>
      <c r="AK80" s="232"/>
      <c r="AL80" s="232"/>
      <c r="AM80" s="232"/>
      <c r="AN80" s="34"/>
      <c r="AO80" s="34"/>
      <c r="AP80" s="34"/>
      <c r="AV80" s="113"/>
    </row>
    <row r="81" spans="1:49" ht="13.5" hidden="1" customHeight="1" x14ac:dyDescent="0.15">
      <c r="D81" s="103"/>
      <c r="E81" s="103"/>
      <c r="F81" s="103"/>
      <c r="G81" s="103"/>
      <c r="H81" s="103"/>
      <c r="I81" s="103"/>
      <c r="J81" s="103"/>
      <c r="K81" s="34"/>
      <c r="M81" s="38"/>
      <c r="N81" s="109"/>
      <c r="O81" s="109"/>
      <c r="P81" s="109"/>
      <c r="Q81" s="109"/>
      <c r="S81" s="110"/>
      <c r="T81" s="110"/>
      <c r="U81" s="103"/>
      <c r="V81" s="112"/>
      <c r="W81" s="112"/>
      <c r="X81" s="112"/>
      <c r="Y81" s="112"/>
      <c r="Z81" s="112"/>
      <c r="AA81" s="103"/>
      <c r="AB81" s="150"/>
      <c r="AC81" s="150"/>
      <c r="AD81" s="150"/>
      <c r="AE81" s="150"/>
      <c r="AF81" s="150"/>
      <c r="AH81" s="115"/>
      <c r="AI81" s="150"/>
      <c r="AJ81" s="150"/>
      <c r="AK81" s="150"/>
      <c r="AL81" s="150"/>
      <c r="AM81" s="150"/>
      <c r="AN81" s="34"/>
      <c r="AO81" s="34"/>
      <c r="AP81" s="34"/>
      <c r="AV81" s="113"/>
    </row>
    <row r="82" spans="1:49" ht="13.5" hidden="1" customHeight="1" x14ac:dyDescent="0.15">
      <c r="D82" s="103"/>
      <c r="E82" s="103"/>
      <c r="F82" s="103"/>
      <c r="G82" s="103"/>
      <c r="H82" s="103"/>
      <c r="I82" s="103"/>
      <c r="J82" s="103"/>
      <c r="K82" s="34"/>
      <c r="M82" s="38"/>
      <c r="N82" s="109"/>
      <c r="O82" s="109"/>
      <c r="P82" s="109"/>
      <c r="Q82" s="109"/>
      <c r="S82" s="110"/>
      <c r="T82" s="110"/>
      <c r="U82" s="103"/>
      <c r="V82" s="112"/>
      <c r="W82" s="112"/>
      <c r="X82" s="112"/>
      <c r="Y82" s="112"/>
      <c r="Z82" s="112"/>
      <c r="AA82" s="103"/>
      <c r="AB82" s="150"/>
      <c r="AC82" s="150"/>
      <c r="AD82" s="150"/>
      <c r="AE82" s="150"/>
      <c r="AF82" s="150"/>
      <c r="AH82" s="115"/>
      <c r="AI82" s="150"/>
      <c r="AJ82" s="150"/>
      <c r="AK82" s="150"/>
      <c r="AL82" s="150"/>
      <c r="AM82" s="150"/>
      <c r="AN82" s="34"/>
      <c r="AO82" s="34"/>
      <c r="AP82" s="34"/>
      <c r="AV82" s="113"/>
    </row>
    <row r="83" spans="1:49" ht="13.5" hidden="1" customHeight="1" x14ac:dyDescent="0.15">
      <c r="D83" s="103"/>
      <c r="E83" s="103"/>
      <c r="F83" s="103"/>
      <c r="G83" s="103"/>
      <c r="H83" s="103"/>
      <c r="I83" s="103"/>
      <c r="J83" s="103"/>
      <c r="K83" s="34"/>
      <c r="M83" s="38"/>
      <c r="N83" s="109"/>
      <c r="O83" s="109"/>
      <c r="P83" s="109"/>
      <c r="Q83" s="109"/>
      <c r="S83" s="110"/>
      <c r="T83" s="110"/>
      <c r="U83" s="103"/>
      <c r="V83" s="112"/>
      <c r="W83" s="112"/>
      <c r="X83" s="112"/>
      <c r="Y83" s="112"/>
      <c r="Z83" s="112"/>
      <c r="AA83" s="103"/>
      <c r="AB83" s="150"/>
      <c r="AC83" s="150"/>
      <c r="AD83" s="150"/>
      <c r="AE83" s="150"/>
      <c r="AF83" s="150"/>
      <c r="AH83" s="115"/>
      <c r="AI83" s="150"/>
      <c r="AJ83" s="150"/>
      <c r="AK83" s="150"/>
      <c r="AL83" s="150"/>
      <c r="AM83" s="150"/>
      <c r="AN83" s="34"/>
      <c r="AO83" s="34"/>
      <c r="AP83" s="34"/>
      <c r="AV83" s="113"/>
    </row>
    <row r="84" spans="1:49" ht="13.5" hidden="1" customHeight="1" x14ac:dyDescent="0.15">
      <c r="D84" s="103"/>
      <c r="E84" s="103"/>
      <c r="F84" s="103"/>
      <c r="G84" s="103"/>
      <c r="H84" s="103"/>
      <c r="I84" s="103"/>
      <c r="J84" s="103"/>
      <c r="K84" s="34"/>
      <c r="M84" s="38"/>
      <c r="N84" s="109"/>
      <c r="O84" s="109"/>
      <c r="P84" s="109"/>
      <c r="Q84" s="109"/>
      <c r="S84" s="110"/>
      <c r="T84" s="110"/>
      <c r="U84" s="103"/>
      <c r="V84" s="112"/>
      <c r="W84" s="112"/>
      <c r="X84" s="112"/>
      <c r="Y84" s="112"/>
      <c r="Z84" s="112"/>
      <c r="AA84" s="103"/>
      <c r="AB84" s="150"/>
      <c r="AC84" s="150"/>
      <c r="AD84" s="150"/>
      <c r="AE84" s="150"/>
      <c r="AF84" s="150"/>
      <c r="AH84" s="115"/>
      <c r="AI84" s="150"/>
      <c r="AJ84" s="150"/>
      <c r="AK84" s="150"/>
      <c r="AL84" s="150"/>
      <c r="AM84" s="150"/>
      <c r="AN84" s="34"/>
      <c r="AO84" s="34"/>
      <c r="AP84" s="34"/>
      <c r="AV84" s="113"/>
    </row>
    <row r="85" spans="1:49" x14ac:dyDescent="0.15">
      <c r="A85" s="8"/>
      <c r="B85" s="8"/>
      <c r="C85" s="8"/>
      <c r="AC85" s="1"/>
      <c r="AD85" s="1"/>
      <c r="AE85" s="1"/>
      <c r="AF85" s="1"/>
      <c r="AG85" s="1"/>
      <c r="AH85" s="13"/>
      <c r="AI85" s="56"/>
      <c r="AJ85" s="56"/>
      <c r="AK85" s="56"/>
      <c r="AL85" s="56"/>
      <c r="AM85" s="56"/>
    </row>
    <row r="86" spans="1:49" x14ac:dyDescent="0.15">
      <c r="A86" s="8"/>
      <c r="B86" s="8"/>
      <c r="C86" s="8"/>
      <c r="E86" s="5" t="s">
        <v>24</v>
      </c>
      <c r="K86" s="3"/>
      <c r="AI86" s="3"/>
      <c r="AJ86" s="3"/>
      <c r="AW86" s="24" t="b">
        <v>1</v>
      </c>
    </row>
    <row r="87" spans="1:49" ht="25.5" customHeight="1" thickBot="1" x14ac:dyDescent="0.2">
      <c r="A87" s="8"/>
      <c r="B87" s="8"/>
      <c r="C87" s="8"/>
      <c r="D87" s="58" t="s">
        <v>110</v>
      </c>
      <c r="AI87" s="38"/>
      <c r="AJ87" s="38"/>
      <c r="AK87" s="38"/>
      <c r="AL87" s="38"/>
    </row>
    <row r="88" spans="1:49" ht="25.5" hidden="1" customHeight="1" thickBot="1" x14ac:dyDescent="0.2">
      <c r="A88" s="8"/>
      <c r="B88" s="8"/>
      <c r="C88" s="8"/>
      <c r="D88" s="58"/>
      <c r="AJ88" s="3"/>
    </row>
    <row r="89" spans="1:49" ht="20.25" customHeight="1" thickBot="1" x14ac:dyDescent="0.2">
      <c r="A89" s="9"/>
      <c r="G89" s="238"/>
      <c r="H89" s="238"/>
      <c r="M89" s="252" t="s">
        <v>122</v>
      </c>
      <c r="N89" s="252"/>
      <c r="O89" s="3"/>
      <c r="P89" s="46"/>
      <c r="Q89" s="250">
        <v>20</v>
      </c>
      <c r="R89" s="251"/>
      <c r="S89" s="3" t="str">
        <f>IF($AW$86=FALSE,"","％")</f>
        <v>％</v>
      </c>
      <c r="T89" s="8" t="s">
        <v>123</v>
      </c>
      <c r="U89" s="40"/>
      <c r="V89" s="40"/>
      <c r="W89" s="3"/>
      <c r="Y89" s="9"/>
      <c r="Z89" s="9"/>
      <c r="AA89" s="9"/>
      <c r="AB89" s="9"/>
      <c r="AC89" s="9"/>
      <c r="AD89" s="9"/>
      <c r="AE89" s="9"/>
      <c r="AF89" s="9"/>
      <c r="AG89" s="9"/>
      <c r="AH89" s="9"/>
      <c r="AI89" s="9"/>
      <c r="AJ89" s="9"/>
      <c r="AK89" s="9"/>
      <c r="AL89" s="9"/>
      <c r="AM89" s="9"/>
      <c r="AN89" s="9"/>
      <c r="AO89" s="9"/>
      <c r="AP89" s="9"/>
      <c r="AQ89" s="9"/>
      <c r="AR89" s="9"/>
      <c r="AS89" s="9"/>
    </row>
    <row r="90" spans="1:49" hidden="1" x14ac:dyDescent="0.15">
      <c r="A90" s="9"/>
      <c r="N90" s="1"/>
      <c r="P90" s="1"/>
      <c r="Y90" s="9"/>
      <c r="Z90" s="9"/>
      <c r="AA90" s="9"/>
      <c r="AB90" s="9"/>
      <c r="AC90" s="9"/>
      <c r="AD90" s="9"/>
      <c r="AE90" s="9"/>
      <c r="AF90" s="9"/>
      <c r="AG90" s="9"/>
      <c r="AH90" s="9"/>
      <c r="AI90" s="9"/>
      <c r="AJ90" s="9"/>
      <c r="AK90" s="9"/>
      <c r="AL90" s="9"/>
      <c r="AM90" s="9"/>
      <c r="AN90" s="9"/>
      <c r="AO90" s="9"/>
      <c r="AP90" s="9"/>
      <c r="AQ90" s="9"/>
      <c r="AR90" s="9"/>
      <c r="AS90" s="9"/>
    </row>
    <row r="91" spans="1:49" ht="4.5" hidden="1" customHeight="1" x14ac:dyDescent="0.15">
      <c r="A91" s="9"/>
      <c r="P91" s="1"/>
      <c r="V91" s="103"/>
      <c r="Y91" s="9"/>
      <c r="Z91" s="9"/>
      <c r="AA91" s="9"/>
      <c r="AB91" s="9"/>
      <c r="AC91" s="9"/>
      <c r="AD91" s="9"/>
      <c r="AE91" s="9"/>
      <c r="AF91" s="9"/>
      <c r="AG91" s="9"/>
      <c r="AH91" s="9"/>
      <c r="AI91" s="9"/>
      <c r="AJ91" s="9"/>
      <c r="AK91" s="9"/>
      <c r="AL91" s="9"/>
      <c r="AM91" s="9"/>
      <c r="AN91" s="9"/>
      <c r="AO91" s="9"/>
      <c r="AP91" s="9"/>
      <c r="AQ91" s="9"/>
      <c r="AR91" s="9"/>
      <c r="AS91" s="9"/>
    </row>
    <row r="92" spans="1:49" hidden="1" x14ac:dyDescent="0.15">
      <c r="A92" s="9"/>
      <c r="J92" s="212"/>
      <c r="K92" s="212"/>
      <c r="L92" s="212"/>
      <c r="M92" s="212"/>
      <c r="N92" s="212"/>
      <c r="P92" s="212"/>
      <c r="Q92" s="212"/>
      <c r="R92" s="212"/>
      <c r="AE92" s="9"/>
      <c r="AF92" s="9"/>
      <c r="AG92" s="9"/>
      <c r="AH92" s="9"/>
      <c r="AI92" s="9"/>
      <c r="AJ92" s="9"/>
      <c r="AK92" s="9"/>
      <c r="AL92" s="9"/>
      <c r="AM92" s="9"/>
      <c r="AN92" s="9"/>
      <c r="AO92" s="9"/>
      <c r="AP92" s="9"/>
      <c r="AQ92" s="9"/>
      <c r="AR92" s="9"/>
      <c r="AS92" s="9"/>
    </row>
    <row r="93" spans="1:49" ht="21" hidden="1" customHeight="1" x14ac:dyDescent="0.15">
      <c r="A93" s="9"/>
      <c r="J93" s="222"/>
      <c r="K93" s="222"/>
      <c r="L93" s="222"/>
      <c r="M93" s="222"/>
      <c r="N93" s="222"/>
      <c r="O93" s="109"/>
      <c r="P93" s="233"/>
      <c r="Q93" s="233"/>
      <c r="R93" s="233"/>
      <c r="T93" s="239"/>
      <c r="U93" s="239"/>
      <c r="V93" s="239"/>
      <c r="W93" s="239"/>
      <c r="X93" s="239"/>
      <c r="Y93" s="239"/>
      <c r="Z93" s="239"/>
      <c r="AA93" s="113"/>
      <c r="AB93" s="113"/>
      <c r="AC93" s="113"/>
      <c r="AE93" s="9"/>
      <c r="AF93" s="238" t="str">
        <f>IF(AW86=FALSE,"","～")</f>
        <v>～</v>
      </c>
      <c r="AG93" s="238"/>
      <c r="AH93" s="9"/>
      <c r="AI93" s="9"/>
      <c r="AJ93" s="9"/>
      <c r="AK93" s="9"/>
      <c r="AL93" s="9"/>
      <c r="AM93" s="9"/>
      <c r="AN93" s="9"/>
      <c r="AO93" s="9"/>
      <c r="AP93" s="9"/>
      <c r="AQ93" s="9"/>
      <c r="AR93" s="9"/>
      <c r="AS93" s="9"/>
    </row>
    <row r="94" spans="1:49" ht="13.5" hidden="1" customHeight="1" x14ac:dyDescent="0.15">
      <c r="A94" s="9"/>
      <c r="G94" s="238"/>
      <c r="H94" s="238"/>
      <c r="J94" s="109"/>
      <c r="K94" s="109"/>
      <c r="L94" s="109"/>
      <c r="M94" s="109"/>
      <c r="N94" s="109"/>
      <c r="O94" s="109"/>
      <c r="P94" s="110"/>
      <c r="Q94" s="110"/>
      <c r="R94" s="110"/>
      <c r="T94" s="111"/>
      <c r="U94" s="111"/>
      <c r="V94" s="111"/>
      <c r="W94" s="111"/>
      <c r="X94" s="111"/>
      <c r="Y94" s="111"/>
      <c r="Z94" s="111"/>
      <c r="AA94" s="154"/>
      <c r="AB94" s="116"/>
      <c r="AC94" s="116"/>
      <c r="AE94" s="9"/>
      <c r="AF94" s="9"/>
      <c r="AG94" s="9"/>
      <c r="AH94" s="9"/>
      <c r="AI94" s="9"/>
      <c r="AJ94" s="9"/>
      <c r="AK94" s="9"/>
      <c r="AL94" s="9"/>
      <c r="AM94" s="9"/>
      <c r="AN94" s="9"/>
      <c r="AO94" s="9"/>
      <c r="AP94" s="9"/>
      <c r="AQ94" s="9"/>
      <c r="AR94" s="9"/>
      <c r="AS94" s="9"/>
    </row>
    <row r="95" spans="1:49" ht="21" hidden="1" customHeight="1" x14ac:dyDescent="0.15">
      <c r="A95" s="9"/>
      <c r="J95" s="222"/>
      <c r="K95" s="222"/>
      <c r="L95" s="222"/>
      <c r="M95" s="222"/>
      <c r="N95" s="222"/>
      <c r="O95" s="109"/>
      <c r="P95" s="233"/>
      <c r="Q95" s="233"/>
      <c r="R95" s="233"/>
      <c r="T95" s="239"/>
      <c r="U95" s="239"/>
      <c r="V95" s="239"/>
      <c r="W95" s="239"/>
      <c r="X95" s="239"/>
      <c r="Y95" s="239"/>
      <c r="Z95" s="239"/>
      <c r="AA95" s="113"/>
      <c r="AB95" s="113"/>
      <c r="AC95" s="113"/>
      <c r="AE95" s="9"/>
      <c r="AF95" s="9"/>
      <c r="AG95" s="9"/>
      <c r="AH95" s="9"/>
      <c r="AI95" s="9"/>
      <c r="AJ95" s="9"/>
      <c r="AK95" s="9"/>
      <c r="AL95" s="9"/>
      <c r="AM95" s="9"/>
      <c r="AN95" s="9"/>
      <c r="AO95" s="9"/>
      <c r="AP95" s="9"/>
      <c r="AQ95" s="9"/>
      <c r="AR95" s="9"/>
      <c r="AS95" s="9"/>
    </row>
    <row r="96" spans="1:49" ht="12.75" hidden="1" customHeight="1" x14ac:dyDescent="0.15">
      <c r="A96" s="9"/>
      <c r="J96" s="109"/>
      <c r="K96" s="109"/>
      <c r="L96" s="109"/>
      <c r="M96" s="109"/>
      <c r="N96" s="109"/>
      <c r="O96" s="109"/>
      <c r="P96" s="110"/>
      <c r="Q96" s="110"/>
      <c r="R96" s="110"/>
      <c r="T96" s="111"/>
      <c r="U96" s="111"/>
      <c r="V96" s="111"/>
      <c r="W96" s="111"/>
      <c r="X96" s="111"/>
      <c r="Y96" s="111"/>
      <c r="Z96" s="111"/>
      <c r="AA96" s="153"/>
      <c r="AB96" s="153"/>
      <c r="AC96" s="153"/>
      <c r="AE96" s="9"/>
      <c r="AF96" s="9"/>
      <c r="AG96" s="9"/>
      <c r="AH96" s="9"/>
      <c r="AI96" s="9"/>
      <c r="AJ96" s="9"/>
      <c r="AK96" s="9"/>
      <c r="AL96" s="9"/>
      <c r="AM96" s="9"/>
      <c r="AN96" s="9"/>
      <c r="AO96" s="9"/>
      <c r="AP96" s="9"/>
      <c r="AQ96" s="9"/>
      <c r="AR96" s="9"/>
      <c r="AS96" s="9"/>
    </row>
    <row r="97" spans="1:50" ht="21" hidden="1" customHeight="1" x14ac:dyDescent="0.15">
      <c r="A97" s="9"/>
      <c r="J97" s="222"/>
      <c r="K97" s="222"/>
      <c r="L97" s="222"/>
      <c r="M97" s="222"/>
      <c r="N97" s="222"/>
      <c r="O97" s="103"/>
      <c r="P97" s="231"/>
      <c r="Q97" s="231"/>
      <c r="R97" s="231"/>
      <c r="T97" s="239"/>
      <c r="U97" s="239"/>
      <c r="V97" s="239"/>
      <c r="W97" s="239"/>
      <c r="X97" s="239"/>
      <c r="Y97" s="239"/>
      <c r="Z97" s="239"/>
      <c r="AA97" s="113"/>
      <c r="AB97" s="113"/>
      <c r="AC97" s="113"/>
      <c r="AE97" s="233" t="str">
        <f>IF(AW92=FALSE,"",IF(#REF!="","",$M$89/100))</f>
        <v/>
      </c>
      <c r="AF97" s="233"/>
      <c r="AG97" s="233"/>
      <c r="AH97" s="5" t="str">
        <f>IF(AW92=FALSE,"","=")</f>
        <v/>
      </c>
      <c r="AI97" s="239" t="str">
        <f>IF(AW92=FALSE,"",IF(ISERROR(ROUND(#REF!*AE97,0)),"",ROUND(#REF!*AE97,0)))</f>
        <v/>
      </c>
      <c r="AJ97" s="239"/>
      <c r="AK97" s="239"/>
      <c r="AL97" s="239"/>
      <c r="AM97" s="239"/>
      <c r="AN97" s="239"/>
      <c r="AO97" s="239"/>
      <c r="AP97" s="240" t="str">
        <f>IF(AW92=FALSE,"","下限額⑥")</f>
        <v/>
      </c>
      <c r="AQ97" s="240"/>
      <c r="AR97" s="240"/>
    </row>
    <row r="98" spans="1:50" ht="21" customHeight="1" x14ac:dyDescent="0.15">
      <c r="A98" s="9"/>
      <c r="J98" s="222">
        <f ca="1">IF(AW86=FALSE,"",IF(AW51=1,AF48,AF48))</f>
        <v>69240</v>
      </c>
      <c r="K98" s="222"/>
      <c r="L98" s="222"/>
      <c r="M98" s="222"/>
      <c r="N98" s="222"/>
      <c r="O98" s="109" t="str">
        <f>IF(AW86=FALSE,"","×")</f>
        <v>×</v>
      </c>
      <c r="P98" s="231">
        <f>IF(AW86=FALSE,"",IF(Q89="","",$Q$89/100))</f>
        <v>0.2</v>
      </c>
      <c r="Q98" s="231"/>
      <c r="R98" s="231"/>
      <c r="S98" s="5" t="str">
        <f>IF(AW86=FALSE,"","=")</f>
        <v>=</v>
      </c>
      <c r="T98" s="239">
        <f ca="1">IF(AW86=FALSE,"",IF(ISERROR(ROUND(J98*P98,0)),"",ROUND(J98*P98,0)))</f>
        <v>13848</v>
      </c>
      <c r="U98" s="239"/>
      <c r="V98" s="239"/>
      <c r="W98" s="239"/>
      <c r="X98" s="239"/>
      <c r="Y98" s="239"/>
      <c r="Z98" s="239"/>
      <c r="AA98" s="113" t="s">
        <v>24</v>
      </c>
      <c r="AB98" s="113"/>
      <c r="AC98" s="113"/>
      <c r="AE98" s="110"/>
      <c r="AF98" s="110"/>
      <c r="AG98" s="110"/>
      <c r="AI98" s="111"/>
      <c r="AJ98" s="111"/>
      <c r="AK98" s="111"/>
      <c r="AL98" s="111"/>
      <c r="AM98" s="111"/>
      <c r="AN98" s="111"/>
      <c r="AO98" s="111"/>
      <c r="AP98" s="113"/>
      <c r="AQ98" s="113"/>
      <c r="AR98" s="113"/>
    </row>
    <row r="99" spans="1:50" x14ac:dyDescent="0.15">
      <c r="A99" s="9"/>
      <c r="J99" s="109"/>
      <c r="K99" s="109"/>
      <c r="L99" s="109"/>
      <c r="M99" s="109"/>
      <c r="N99" s="109"/>
      <c r="O99" s="109"/>
      <c r="P99" s="110"/>
      <c r="Q99" s="110"/>
      <c r="R99" s="110"/>
      <c r="T99" s="111"/>
      <c r="U99" s="111"/>
      <c r="V99" s="111"/>
      <c r="W99" s="111"/>
      <c r="X99" s="111"/>
      <c r="Y99" s="111"/>
      <c r="Z99" s="111"/>
      <c r="AA99" s="50"/>
      <c r="AE99" s="110"/>
      <c r="AF99" s="110"/>
      <c r="AG99" s="110"/>
      <c r="AI99" s="111"/>
      <c r="AJ99" s="111"/>
      <c r="AK99" s="111"/>
      <c r="AL99" s="111"/>
      <c r="AM99" s="111"/>
      <c r="AN99" s="111"/>
      <c r="AO99" s="111"/>
      <c r="AP99" s="113"/>
      <c r="AQ99" s="113"/>
      <c r="AR99" s="113"/>
    </row>
    <row r="100" spans="1:50" hidden="1" x14ac:dyDescent="0.15">
      <c r="A100" s="9"/>
      <c r="P100" s="1"/>
      <c r="Y100" s="109"/>
      <c r="Z100" s="109"/>
      <c r="AA100" s="109"/>
      <c r="AB100" s="109"/>
      <c r="AC100" s="109"/>
      <c r="AD100" s="109"/>
      <c r="AE100" s="110"/>
      <c r="AF100" s="110"/>
      <c r="AG100" s="110"/>
      <c r="AI100" s="111"/>
      <c r="AJ100" s="111"/>
      <c r="AK100" s="111"/>
      <c r="AL100" s="111"/>
      <c r="AM100" s="111"/>
      <c r="AN100" s="111"/>
      <c r="AO100" s="111"/>
      <c r="AP100" s="113"/>
      <c r="AQ100" s="113"/>
      <c r="AR100" s="113"/>
    </row>
    <row r="101" spans="1:50" x14ac:dyDescent="0.15">
      <c r="A101" s="9"/>
      <c r="P101" s="1"/>
      <c r="T101" s="16"/>
    </row>
    <row r="102" spans="1:50" x14ac:dyDescent="0.15">
      <c r="A102" s="9"/>
      <c r="E102" s="116" t="s">
        <v>25</v>
      </c>
      <c r="M102" s="3"/>
      <c r="AW102" s="24" t="b">
        <v>1</v>
      </c>
    </row>
    <row r="103" spans="1:50" ht="28.5" customHeight="1" x14ac:dyDescent="0.15">
      <c r="A103" s="9"/>
      <c r="D103" s="249" t="s">
        <v>111</v>
      </c>
      <c r="E103" s="249"/>
      <c r="F103" s="249"/>
      <c r="G103" s="249"/>
      <c r="H103" s="249"/>
      <c r="I103" s="249"/>
      <c r="J103" s="249"/>
      <c r="K103" s="249"/>
      <c r="L103" s="249"/>
      <c r="M103" s="249"/>
      <c r="N103" s="249"/>
      <c r="O103" s="249"/>
      <c r="P103" s="249"/>
      <c r="Q103" s="249"/>
      <c r="R103" s="249"/>
      <c r="S103" s="249"/>
      <c r="T103" s="249"/>
      <c r="U103" s="249"/>
    </row>
    <row r="104" spans="1:50" hidden="1" x14ac:dyDescent="0.15">
      <c r="A104" s="9"/>
      <c r="D104" s="249"/>
      <c r="E104" s="249"/>
      <c r="F104" s="249"/>
      <c r="G104" s="249"/>
      <c r="H104" s="249"/>
      <c r="I104" s="249"/>
      <c r="J104" s="249"/>
      <c r="K104" s="249"/>
      <c r="L104" s="249"/>
      <c r="M104" s="249"/>
      <c r="N104" s="249"/>
      <c r="O104" s="249"/>
      <c r="P104" s="249"/>
      <c r="Q104" s="249"/>
      <c r="R104" s="249"/>
      <c r="S104" s="249"/>
      <c r="T104" s="249"/>
      <c r="U104" s="249"/>
    </row>
    <row r="105" spans="1:50" x14ac:dyDescent="0.15">
      <c r="A105" s="9"/>
      <c r="D105" s="123"/>
      <c r="E105" s="123"/>
      <c r="F105" s="123"/>
      <c r="G105" s="123"/>
      <c r="H105" s="123"/>
      <c r="I105" s="123"/>
      <c r="J105" s="123"/>
      <c r="K105" s="123"/>
      <c r="L105" s="123"/>
      <c r="M105" s="217"/>
      <c r="N105" s="217"/>
      <c r="O105" s="217"/>
      <c r="P105" s="45"/>
      <c r="Q105" s="217" t="s">
        <v>124</v>
      </c>
      <c r="R105" s="217"/>
      <c r="S105" s="217"/>
      <c r="T105" s="123"/>
      <c r="Y105" s="120"/>
      <c r="Z105" s="120"/>
      <c r="AA105" s="120"/>
      <c r="AB105" s="59"/>
      <c r="AC105" s="120"/>
      <c r="AD105" s="120"/>
      <c r="AE105" s="120"/>
      <c r="AW105" s="24">
        <v>1</v>
      </c>
      <c r="AX105" s="24" t="s">
        <v>98</v>
      </c>
    </row>
    <row r="106" spans="1:50" ht="17.25" x14ac:dyDescent="0.15">
      <c r="A106" s="9"/>
      <c r="G106" s="238"/>
      <c r="H106" s="238"/>
      <c r="J106" s="5" t="str">
        <f>IF(AW102=FALSE,"","時間単価")</f>
        <v>時間単価</v>
      </c>
      <c r="M106" s="224"/>
      <c r="N106" s="224"/>
      <c r="O106" s="224"/>
      <c r="P106" s="36"/>
      <c r="Q106" s="218">
        <f ca="1">IF(AW102=FALSE,"",INDEX(INDIRECT(VLOOKUP(AW5,AW105:AX114,2,FALSE)),2,2))</f>
        <v>2430</v>
      </c>
      <c r="R106" s="218"/>
      <c r="S106" s="218"/>
      <c r="T106" s="55"/>
      <c r="AW106" s="24">
        <v>2</v>
      </c>
      <c r="AX106" s="24" t="s">
        <v>99</v>
      </c>
    </row>
    <row r="107" spans="1:50" ht="5.25" customHeight="1" x14ac:dyDescent="0.15">
      <c r="A107" s="8"/>
      <c r="B107" s="8"/>
      <c r="C107" s="8"/>
      <c r="F107" s="116"/>
      <c r="G107" s="116"/>
      <c r="H107" s="116"/>
      <c r="P107" s="32"/>
      <c r="Q107" s="32"/>
      <c r="R107" s="159"/>
      <c r="S107" s="32"/>
      <c r="AW107" s="24">
        <v>3</v>
      </c>
      <c r="AX107" s="24" t="s">
        <v>100</v>
      </c>
    </row>
    <row r="108" spans="1:50" ht="17.25" x14ac:dyDescent="0.15">
      <c r="A108" s="8"/>
      <c r="B108" s="8"/>
      <c r="C108" s="8"/>
      <c r="J108" s="5" t="str">
        <f>IF(AW102=FALSE,"","キロ単価")</f>
        <v>キロ単価</v>
      </c>
      <c r="M108" s="224"/>
      <c r="N108" s="224"/>
      <c r="O108" s="224"/>
      <c r="P108" s="36"/>
      <c r="Q108" s="218">
        <f ca="1">IF(AW102=FALSE,"",INDEX(INDIRECT(VLOOKUP(AW5,AW105:AX114,2,FALSE)),1,2))</f>
        <v>40</v>
      </c>
      <c r="R108" s="218"/>
      <c r="S108" s="218"/>
      <c r="T108" s="8"/>
      <c r="X108" s="8"/>
      <c r="Y108" s="8"/>
      <c r="Z108" s="8"/>
      <c r="AA108" s="8"/>
      <c r="AB108" s="8"/>
      <c r="AC108" s="8"/>
      <c r="AD108" s="8"/>
      <c r="AH108" s="38"/>
      <c r="AW108" s="24">
        <v>4</v>
      </c>
      <c r="AX108" s="24" t="s">
        <v>101</v>
      </c>
    </row>
    <row r="109" spans="1:50" x14ac:dyDescent="0.15">
      <c r="N109" s="13"/>
      <c r="O109" s="13"/>
      <c r="P109" s="13"/>
      <c r="R109" s="115"/>
      <c r="S109" s="1"/>
      <c r="AJ109" s="13"/>
      <c r="AK109" s="13"/>
      <c r="AL109" s="13"/>
      <c r="AM109" s="13"/>
      <c r="AN109" s="13"/>
      <c r="AO109" s="13"/>
      <c r="AP109" s="13"/>
      <c r="AQ109" s="13"/>
      <c r="AR109" s="13"/>
      <c r="AT109" s="38"/>
      <c r="AW109" s="24">
        <v>5</v>
      </c>
      <c r="AX109" s="24" t="s">
        <v>102</v>
      </c>
    </row>
    <row r="110" spans="1:50" x14ac:dyDescent="0.15">
      <c r="J110" s="212" t="str">
        <f>IF(AW102=FALSE,"","時間単価")</f>
        <v>時間単価</v>
      </c>
      <c r="K110" s="212"/>
      <c r="L110" s="212"/>
      <c r="M110" s="212" t="str">
        <f>IF(AW102=FALSE,"","総拘束時間")</f>
        <v>総拘束時間</v>
      </c>
      <c r="N110" s="212"/>
      <c r="O110" s="212"/>
      <c r="P110" s="212"/>
      <c r="R110" s="212" t="str">
        <f>IF(AW102=FALSE,"","キロ単価")</f>
        <v>キロ単価</v>
      </c>
      <c r="S110" s="212"/>
      <c r="T110" s="212"/>
      <c r="U110" s="212"/>
      <c r="W110" s="212" t="str">
        <f>IF(AW102=FALSE,"","走行距離")</f>
        <v>走行距離</v>
      </c>
      <c r="X110" s="212"/>
      <c r="Y110" s="212"/>
      <c r="AJ110" s="1"/>
      <c r="AK110" s="1"/>
      <c r="AL110" s="1"/>
      <c r="AM110" s="1"/>
      <c r="AN110" s="1"/>
      <c r="AO110" s="1"/>
      <c r="AP110" s="1"/>
      <c r="AQ110" s="1"/>
      <c r="AR110" s="1"/>
      <c r="AW110" s="24">
        <v>6</v>
      </c>
      <c r="AX110" s="24" t="s">
        <v>103</v>
      </c>
    </row>
    <row r="111" spans="1:50" ht="21" hidden="1" customHeight="1" x14ac:dyDescent="0.15">
      <c r="J111" s="222"/>
      <c r="K111" s="222"/>
      <c r="L111" s="222"/>
      <c r="N111" s="223"/>
      <c r="O111" s="223"/>
      <c r="P111" s="223"/>
      <c r="R111" s="222"/>
      <c r="S111" s="222"/>
      <c r="T111" s="222"/>
      <c r="U111" s="222"/>
      <c r="W111" s="228"/>
      <c r="X111" s="228"/>
      <c r="Y111" s="228"/>
      <c r="AA111" s="222"/>
      <c r="AB111" s="222"/>
      <c r="AC111" s="222"/>
      <c r="AD111" s="222"/>
      <c r="AE111" s="222"/>
      <c r="AF111" s="222"/>
      <c r="AG111" s="222"/>
      <c r="AH111" s="8"/>
      <c r="AJ111" s="1"/>
      <c r="AK111" s="1"/>
      <c r="AL111" s="1"/>
      <c r="AM111" s="1"/>
      <c r="AN111" s="1"/>
      <c r="AO111" s="1"/>
      <c r="AP111" s="1"/>
      <c r="AQ111" s="1"/>
      <c r="AR111" s="1"/>
      <c r="AW111" s="24">
        <v>7</v>
      </c>
      <c r="AX111" s="24" t="s">
        <v>104</v>
      </c>
    </row>
    <row r="112" spans="1:50" x14ac:dyDescent="0.15">
      <c r="N112" s="13"/>
      <c r="O112" s="13"/>
      <c r="P112" s="13"/>
      <c r="R112" s="115"/>
      <c r="S112" s="1"/>
      <c r="AJ112" s="13"/>
      <c r="AK112" s="13"/>
      <c r="AL112" s="13"/>
      <c r="AM112" s="13"/>
      <c r="AN112" s="13"/>
      <c r="AO112" s="13"/>
      <c r="AP112" s="13"/>
      <c r="AQ112" s="13"/>
      <c r="AR112" s="13"/>
      <c r="AW112" s="24">
        <v>8</v>
      </c>
      <c r="AX112" s="24" t="s">
        <v>105</v>
      </c>
    </row>
    <row r="113" spans="2:55" x14ac:dyDescent="0.15">
      <c r="J113" s="222">
        <f ca="1">IF(AW102=FALSE,"",+$Q$106)</f>
        <v>2430</v>
      </c>
      <c r="K113" s="222"/>
      <c r="L113" s="222"/>
      <c r="M113" s="5" t="str">
        <f>IF(AW102=FALSE,"","×")</f>
        <v>×</v>
      </c>
      <c r="N113" s="223">
        <f>IF(AW102=FALSE,"",+AC33)</f>
        <v>12</v>
      </c>
      <c r="O113" s="223"/>
      <c r="P113" s="223"/>
      <c r="Q113" s="5" t="str">
        <f>IF(AW102=FALSE,"","＋")</f>
        <v>＋</v>
      </c>
      <c r="R113" s="222">
        <f ca="1">IF(AW102=FALSE,"",+Q108)</f>
        <v>40</v>
      </c>
      <c r="S113" s="222"/>
      <c r="T113" s="222"/>
      <c r="U113" s="222"/>
      <c r="V113" s="5" t="str">
        <f>IF(AW102=FALSE,"","×")</f>
        <v>×</v>
      </c>
      <c r="W113" s="228">
        <f>IF(AW102=FALSE,"",IF($T$39="",$N$39,$T$39))</f>
        <v>100</v>
      </c>
      <c r="X113" s="228"/>
      <c r="Y113" s="228"/>
      <c r="Z113" s="5" t="str">
        <f>IF(AW102=FALSE,"","＝")</f>
        <v>＝</v>
      </c>
      <c r="AA113" s="222">
        <f ca="1">IF(AW102=FALSE,"",IF(OR($N$39=""),"",ROUND(+$J$113*$N$113,0)+ROUND($R$113*$W$113,0)))</f>
        <v>33160</v>
      </c>
      <c r="AB113" s="222"/>
      <c r="AC113" s="222"/>
      <c r="AD113" s="222"/>
      <c r="AE113" s="222"/>
      <c r="AF113" s="222"/>
      <c r="AG113" s="222"/>
      <c r="AH113" s="8" t="str">
        <f>IF(AW102=FALSE,"","交替運転者配置料金")</f>
        <v>交替運転者配置料金</v>
      </c>
      <c r="AJ113" s="13"/>
      <c r="AK113" s="13"/>
      <c r="AL113" s="13"/>
      <c r="AM113" s="13"/>
      <c r="AN113" s="13"/>
      <c r="AO113" s="13"/>
      <c r="AP113" s="13"/>
      <c r="AQ113" s="13"/>
      <c r="AR113" s="13"/>
      <c r="AW113" s="24">
        <v>9</v>
      </c>
      <c r="AX113" s="24" t="s">
        <v>107</v>
      </c>
    </row>
    <row r="114" spans="2:55" ht="18.75" x14ac:dyDescent="0.15">
      <c r="N114" s="6"/>
      <c r="O114" s="6"/>
      <c r="P114" s="6"/>
      <c r="R114" s="152"/>
      <c r="S114" s="11"/>
      <c r="AJ114" s="6"/>
      <c r="AK114" s="6"/>
      <c r="AL114" s="6"/>
      <c r="AM114" s="6"/>
      <c r="AN114" s="6"/>
      <c r="AO114" s="6"/>
      <c r="AP114" s="6"/>
      <c r="AQ114" s="6"/>
      <c r="AR114" s="6"/>
      <c r="AW114" s="24">
        <v>10</v>
      </c>
      <c r="AX114" s="24" t="s">
        <v>106</v>
      </c>
    </row>
    <row r="115" spans="2:55" hidden="1" x14ac:dyDescent="0.15">
      <c r="G115" s="38"/>
      <c r="H115" s="38"/>
      <c r="I115" s="38"/>
      <c r="J115" s="38"/>
      <c r="K115" s="38"/>
      <c r="R115" s="212"/>
      <c r="S115" s="212"/>
      <c r="T115" s="212"/>
      <c r="U115" s="212"/>
      <c r="V115" s="212"/>
      <c r="X115" s="212"/>
      <c r="Y115" s="212"/>
      <c r="Z115" s="212"/>
      <c r="AA115" s="212"/>
      <c r="AB115" s="212"/>
      <c r="AD115" s="212"/>
      <c r="AE115" s="212"/>
      <c r="AF115" s="212"/>
      <c r="AG115" s="212"/>
      <c r="AH115" s="212"/>
      <c r="AI115" s="212"/>
      <c r="AK115" s="212"/>
      <c r="AL115" s="212"/>
      <c r="AM115" s="212"/>
      <c r="AN115" s="212"/>
      <c r="AO115" s="212"/>
      <c r="AP115" s="212"/>
      <c r="AQ115" s="212"/>
    </row>
    <row r="116" spans="2:55" ht="13.5" hidden="1" customHeight="1" x14ac:dyDescent="0.15">
      <c r="B116" s="221"/>
      <c r="C116" s="221"/>
      <c r="D116" s="221"/>
      <c r="E116" s="221"/>
      <c r="F116" s="38"/>
      <c r="G116" s="38"/>
      <c r="H116" s="226"/>
      <c r="I116" s="226"/>
      <c r="J116" s="226"/>
      <c r="K116" s="226"/>
      <c r="L116" s="225"/>
      <c r="M116" s="225"/>
      <c r="N116" s="225"/>
      <c r="O116" s="225"/>
      <c r="P116" s="225"/>
      <c r="Q116" s="109"/>
      <c r="R116" s="212"/>
      <c r="S116" s="212"/>
      <c r="T116" s="212"/>
      <c r="U116" s="212"/>
      <c r="V116" s="212"/>
      <c r="X116" s="212"/>
      <c r="Y116" s="212"/>
      <c r="Z116" s="212"/>
      <c r="AA116" s="212"/>
      <c r="AB116" s="212"/>
      <c r="AD116" s="212"/>
      <c r="AE116" s="212"/>
      <c r="AF116" s="212"/>
      <c r="AG116" s="212"/>
      <c r="AH116" s="212"/>
      <c r="AI116" s="212"/>
      <c r="AK116" s="212"/>
      <c r="AL116" s="212"/>
      <c r="AM116" s="212"/>
      <c r="AN116" s="212"/>
      <c r="AO116" s="212"/>
      <c r="AP116" s="212"/>
      <c r="AQ116" s="212"/>
      <c r="AR116" s="109"/>
      <c r="AS116" s="109"/>
    </row>
    <row r="117" spans="2:55" ht="5.25" hidden="1" customHeight="1" x14ac:dyDescent="0.15">
      <c r="B117" s="221"/>
      <c r="C117" s="221"/>
      <c r="D117" s="221"/>
      <c r="E117" s="221"/>
      <c r="F117" s="106"/>
      <c r="G117" s="106"/>
      <c r="H117" s="106"/>
      <c r="I117" s="106"/>
      <c r="J117" s="106"/>
      <c r="K117" s="106"/>
    </row>
    <row r="118" spans="2:55" hidden="1" x14ac:dyDescent="0.15">
      <c r="F118" s="226"/>
      <c r="G118" s="226"/>
      <c r="H118" s="226"/>
      <c r="I118" s="226"/>
      <c r="J118" s="226"/>
      <c r="K118" s="226"/>
      <c r="L118" s="227"/>
      <c r="M118" s="227"/>
      <c r="N118" s="227"/>
      <c r="O118" s="227"/>
      <c r="P118" s="227"/>
      <c r="Q118" s="39"/>
      <c r="R118" s="212"/>
      <c r="S118" s="212"/>
      <c r="T118" s="212"/>
      <c r="U118" s="212"/>
      <c r="V118" s="212"/>
      <c r="X118" s="212"/>
      <c r="Y118" s="212"/>
      <c r="Z118" s="212"/>
      <c r="AA118" s="212"/>
      <c r="AB118" s="212"/>
      <c r="AC118" s="38"/>
      <c r="AD118" s="212"/>
      <c r="AE118" s="212"/>
      <c r="AF118" s="212"/>
      <c r="AG118" s="212"/>
      <c r="AH118" s="212"/>
      <c r="AI118" s="212"/>
      <c r="AJ118" s="38"/>
      <c r="AK118" s="212"/>
      <c r="AL118" s="212"/>
      <c r="AM118" s="212"/>
      <c r="AN118" s="212"/>
      <c r="AO118" s="212"/>
      <c r="AP118" s="212"/>
      <c r="AQ118" s="212"/>
      <c r="AR118" s="60"/>
      <c r="AS118" s="17"/>
      <c r="AW118" s="169"/>
    </row>
    <row r="119" spans="2:55" ht="5.25" hidden="1" customHeight="1" thickBot="1" x14ac:dyDescent="0.2">
      <c r="F119" s="106"/>
      <c r="G119" s="106"/>
      <c r="H119" s="106"/>
      <c r="I119" s="106"/>
      <c r="J119" s="106"/>
      <c r="K119" s="106"/>
      <c r="L119" s="61"/>
      <c r="M119" s="61"/>
      <c r="N119" s="61"/>
      <c r="O119" s="61"/>
      <c r="P119" s="61"/>
      <c r="AQ119" s="1"/>
    </row>
    <row r="120" spans="2:55" ht="6.75" hidden="1" customHeight="1" thickTop="1" x14ac:dyDescent="0.15">
      <c r="F120" s="209"/>
      <c r="G120" s="209"/>
      <c r="H120" s="209"/>
      <c r="I120" s="209"/>
      <c r="J120" s="209"/>
      <c r="K120" s="209"/>
      <c r="L120" s="247"/>
      <c r="M120" s="247"/>
      <c r="N120" s="247"/>
      <c r="O120" s="247"/>
      <c r="P120" s="247"/>
      <c r="R120" s="241"/>
      <c r="S120" s="241"/>
      <c r="T120" s="241"/>
      <c r="U120" s="241"/>
      <c r="V120" s="241"/>
      <c r="W120" s="117"/>
      <c r="X120" s="243"/>
      <c r="Y120" s="243"/>
      <c r="Z120" s="243"/>
      <c r="AA120" s="243"/>
      <c r="AB120" s="243"/>
      <c r="AC120" s="117"/>
      <c r="AD120" s="243"/>
      <c r="AE120" s="243"/>
      <c r="AF120" s="243"/>
      <c r="AG120" s="243"/>
      <c r="AH120" s="243"/>
      <c r="AI120" s="243"/>
      <c r="AJ120" s="117"/>
      <c r="AK120" s="243"/>
      <c r="AL120" s="243"/>
      <c r="AM120" s="243"/>
      <c r="AN120" s="243"/>
      <c r="AO120" s="243"/>
      <c r="AP120" s="243"/>
      <c r="AQ120" s="7"/>
    </row>
    <row r="121" spans="2:55" ht="13.5" hidden="1" customHeight="1" x14ac:dyDescent="0.15">
      <c r="F121" s="245"/>
      <c r="G121" s="245"/>
      <c r="H121" s="245"/>
      <c r="I121" s="245"/>
      <c r="J121" s="245"/>
      <c r="K121" s="245"/>
      <c r="L121" s="248"/>
      <c r="M121" s="248"/>
      <c r="N121" s="248"/>
      <c r="O121" s="248"/>
      <c r="P121" s="248"/>
      <c r="Q121" s="62"/>
      <c r="R121" s="242"/>
      <c r="S121" s="242"/>
      <c r="T121" s="242"/>
      <c r="U121" s="242"/>
      <c r="V121" s="242"/>
      <c r="W121" s="4"/>
      <c r="X121" s="244"/>
      <c r="Y121" s="244"/>
      <c r="Z121" s="244"/>
      <c r="AA121" s="244"/>
      <c r="AB121" s="244"/>
      <c r="AC121" s="4"/>
      <c r="AD121" s="244"/>
      <c r="AE121" s="244"/>
      <c r="AF121" s="244"/>
      <c r="AG121" s="244"/>
      <c r="AH121" s="244"/>
      <c r="AI121" s="244"/>
      <c r="AJ121" s="4"/>
      <c r="AK121" s="244"/>
      <c r="AL121" s="244"/>
      <c r="AM121" s="244"/>
      <c r="AN121" s="244"/>
      <c r="AO121" s="244"/>
      <c r="AP121" s="244"/>
      <c r="AQ121" s="4"/>
      <c r="AR121" s="64"/>
      <c r="AS121" s="65"/>
      <c r="AT121" s="65"/>
    </row>
    <row r="123" spans="2:55" x14ac:dyDescent="0.15">
      <c r="F123" s="38"/>
      <c r="G123" s="38"/>
      <c r="H123" s="38"/>
      <c r="I123" s="38"/>
      <c r="J123" s="38"/>
      <c r="K123" s="38"/>
      <c r="L123" s="38"/>
      <c r="M123" s="38"/>
      <c r="N123" s="38"/>
      <c r="O123" s="38"/>
      <c r="P123" s="38"/>
      <c r="Q123" s="38"/>
      <c r="R123" s="212"/>
      <c r="S123" s="212"/>
      <c r="T123" s="212"/>
      <c r="U123" s="212"/>
      <c r="V123" s="212"/>
      <c r="X123" s="212"/>
      <c r="Y123" s="212"/>
      <c r="Z123" s="212"/>
      <c r="AA123" s="212"/>
      <c r="AB123" s="212"/>
      <c r="AD123" s="212"/>
      <c r="AE123" s="212"/>
      <c r="AF123" s="212"/>
      <c r="AG123" s="212"/>
      <c r="AH123" s="212"/>
      <c r="AI123" s="212"/>
      <c r="AK123" s="212"/>
      <c r="AL123" s="212"/>
      <c r="AM123" s="212"/>
      <c r="AN123" s="212"/>
      <c r="AO123" s="212"/>
      <c r="AP123" s="212"/>
      <c r="AQ123" s="212"/>
      <c r="AV123" s="20"/>
      <c r="BA123" s="144"/>
    </row>
    <row r="124" spans="2:55" ht="13.5" customHeight="1" x14ac:dyDescent="0.15">
      <c r="B124" s="221" t="s">
        <v>121</v>
      </c>
      <c r="C124" s="221"/>
      <c r="D124" s="221"/>
      <c r="E124" s="221"/>
      <c r="F124" s="38"/>
      <c r="G124" s="38"/>
      <c r="H124" s="226" t="s">
        <v>42</v>
      </c>
      <c r="I124" s="226"/>
      <c r="J124" s="226"/>
      <c r="K124" s="226"/>
      <c r="L124" s="225">
        <f ca="1">IF(ISERROR(+R$128+X$128+AD$128+AK$128),"",+R$128+X$128+AD$128+AK$128)</f>
        <v>119128</v>
      </c>
      <c r="M124" s="225"/>
      <c r="N124" s="225"/>
      <c r="O124" s="225"/>
      <c r="P124" s="225"/>
      <c r="Q124" s="38"/>
      <c r="R124" s="212" t="s">
        <v>1</v>
      </c>
      <c r="S124" s="212"/>
      <c r="T124" s="212"/>
      <c r="U124" s="212"/>
      <c r="V124" s="212"/>
      <c r="W124" s="5" t="s">
        <v>97</v>
      </c>
      <c r="X124" s="212" t="s">
        <v>23</v>
      </c>
      <c r="Y124" s="212"/>
      <c r="Z124" s="212"/>
      <c r="AA124" s="212"/>
      <c r="AB124" s="212"/>
      <c r="AC124" s="5" t="s">
        <v>97</v>
      </c>
      <c r="AD124" s="212" t="s">
        <v>24</v>
      </c>
      <c r="AE124" s="212"/>
      <c r="AF124" s="212"/>
      <c r="AG124" s="212"/>
      <c r="AH124" s="212"/>
      <c r="AI124" s="212"/>
      <c r="AJ124" s="5" t="s">
        <v>97</v>
      </c>
      <c r="AK124" s="212" t="s">
        <v>25</v>
      </c>
      <c r="AL124" s="212"/>
      <c r="AM124" s="212"/>
      <c r="AN124" s="212"/>
      <c r="AO124" s="212"/>
      <c r="AP124" s="212"/>
      <c r="AQ124" s="212"/>
      <c r="AR124" s="109"/>
      <c r="AS124" s="109"/>
      <c r="AT124" s="109"/>
      <c r="AU124" s="109"/>
      <c r="AV124" s="118"/>
      <c r="AX124" s="170"/>
      <c r="AY124" s="170"/>
      <c r="AZ124" s="170"/>
      <c r="BA124" s="170"/>
    </row>
    <row r="125" spans="2:55" ht="5.25" customHeight="1" x14ac:dyDescent="0.15">
      <c r="B125" s="221"/>
      <c r="C125" s="221"/>
      <c r="D125" s="221"/>
      <c r="E125" s="221"/>
      <c r="F125" s="106"/>
      <c r="G125" s="106"/>
      <c r="H125" s="106"/>
      <c r="I125" s="106"/>
      <c r="J125" s="106"/>
      <c r="K125" s="106"/>
      <c r="Q125" s="106"/>
      <c r="R125" s="212"/>
      <c r="S125" s="212"/>
      <c r="T125" s="212"/>
      <c r="U125" s="212"/>
      <c r="V125" s="212"/>
      <c r="X125" s="212"/>
      <c r="Y125" s="212"/>
      <c r="Z125" s="212"/>
      <c r="AA125" s="212"/>
      <c r="AB125" s="212"/>
      <c r="AD125" s="212"/>
      <c r="AE125" s="212"/>
      <c r="AF125" s="212"/>
      <c r="AG125" s="212"/>
      <c r="AH125" s="212"/>
      <c r="AI125" s="212"/>
      <c r="AK125" s="212"/>
      <c r="AL125" s="212"/>
      <c r="AM125" s="212"/>
      <c r="AN125" s="212"/>
      <c r="AO125" s="212"/>
      <c r="AP125" s="212"/>
      <c r="AQ125" s="212"/>
    </row>
    <row r="126" spans="2:55" x14ac:dyDescent="0.15">
      <c r="F126" s="226" t="s">
        <v>41</v>
      </c>
      <c r="G126" s="226"/>
      <c r="H126" s="226"/>
      <c r="I126" s="226"/>
      <c r="J126" s="226"/>
      <c r="K126" s="226"/>
      <c r="L126" s="227">
        <f ca="1">IF(ISERROR(ROUND(+L124*0.1,0)),"",ROUND(+L124*0.1,0))</f>
        <v>11913</v>
      </c>
      <c r="M126" s="227"/>
      <c r="N126" s="227"/>
      <c r="O126" s="227"/>
      <c r="P126" s="227"/>
      <c r="Q126" s="106"/>
      <c r="R126" s="212"/>
      <c r="S126" s="212"/>
      <c r="T126" s="212"/>
      <c r="U126" s="212"/>
      <c r="V126" s="212"/>
      <c r="X126" s="212"/>
      <c r="Y126" s="212"/>
      <c r="Z126" s="212"/>
      <c r="AA126" s="212"/>
      <c r="AB126" s="212"/>
      <c r="AC126" s="38"/>
      <c r="AD126" s="212"/>
      <c r="AE126" s="212"/>
      <c r="AF126" s="212"/>
      <c r="AG126" s="212"/>
      <c r="AH126" s="212"/>
      <c r="AI126" s="212"/>
      <c r="AK126" s="212"/>
      <c r="AL126" s="212"/>
      <c r="AM126" s="212"/>
      <c r="AN126" s="212"/>
      <c r="AO126" s="212"/>
      <c r="AP126" s="212"/>
      <c r="AQ126" s="212"/>
      <c r="AR126" s="39"/>
      <c r="AS126" s="17"/>
      <c r="AT126" s="17"/>
      <c r="AU126" s="17"/>
      <c r="AV126" s="22"/>
      <c r="AW126" s="169"/>
      <c r="AX126" s="169"/>
      <c r="AY126" s="169"/>
      <c r="AZ126" s="169"/>
      <c r="BA126" s="169"/>
      <c r="BB126" s="169"/>
      <c r="BC126" s="169"/>
    </row>
    <row r="127" spans="2:55" ht="5.25" customHeight="1" thickBot="1" x14ac:dyDescent="0.2">
      <c r="F127" s="106"/>
      <c r="G127" s="106"/>
      <c r="H127" s="106"/>
      <c r="I127" s="106"/>
      <c r="J127" s="106"/>
      <c r="K127" s="106"/>
      <c r="L127" s="61"/>
      <c r="M127" s="61"/>
      <c r="N127" s="61"/>
      <c r="O127" s="61"/>
      <c r="P127" s="61"/>
      <c r="Q127" s="106"/>
      <c r="AQ127" s="1"/>
    </row>
    <row r="128" spans="2:55" ht="6.75" customHeight="1" thickTop="1" x14ac:dyDescent="0.15">
      <c r="F128" s="209" t="s">
        <v>43</v>
      </c>
      <c r="G128" s="209"/>
      <c r="H128" s="209"/>
      <c r="I128" s="209"/>
      <c r="J128" s="209"/>
      <c r="K128" s="209"/>
      <c r="L128" s="247">
        <f ca="1">IF(ISERROR(+L124+L126),"",+L124+L126)</f>
        <v>131041</v>
      </c>
      <c r="M128" s="247"/>
      <c r="N128" s="247"/>
      <c r="O128" s="247"/>
      <c r="P128" s="247"/>
      <c r="Q128" s="104"/>
      <c r="R128" s="241">
        <f ca="1">$AF$48</f>
        <v>69240</v>
      </c>
      <c r="S128" s="241"/>
      <c r="T128" s="241"/>
      <c r="U128" s="241"/>
      <c r="V128" s="241"/>
      <c r="W128" s="117" t="s">
        <v>14</v>
      </c>
      <c r="X128" s="243">
        <f ca="1">IF(AQ33=0,0,AI69)</f>
        <v>2880</v>
      </c>
      <c r="Y128" s="243"/>
      <c r="Z128" s="243"/>
      <c r="AA128" s="243"/>
      <c r="AB128" s="243"/>
      <c r="AC128" s="117" t="s">
        <v>14</v>
      </c>
      <c r="AD128" s="243">
        <f ca="1">IF(AW86=FALSE,0,T98)</f>
        <v>13848</v>
      </c>
      <c r="AE128" s="243"/>
      <c r="AF128" s="243"/>
      <c r="AG128" s="243"/>
      <c r="AH128" s="243"/>
      <c r="AI128" s="243"/>
      <c r="AJ128" s="117" t="s">
        <v>14</v>
      </c>
      <c r="AK128" s="243">
        <f ca="1">IF(AW102=FALSE,0,AA113)</f>
        <v>33160</v>
      </c>
      <c r="AL128" s="243"/>
      <c r="AM128" s="243"/>
      <c r="AN128" s="243"/>
      <c r="AO128" s="243"/>
      <c r="AP128" s="243"/>
      <c r="AQ128" s="38"/>
    </row>
    <row r="129" spans="2:47" ht="13.5" customHeight="1" x14ac:dyDescent="0.15">
      <c r="F129" s="245"/>
      <c r="G129" s="245"/>
      <c r="H129" s="245"/>
      <c r="I129" s="245"/>
      <c r="J129" s="245"/>
      <c r="K129" s="245"/>
      <c r="L129" s="248"/>
      <c r="M129" s="248"/>
      <c r="N129" s="248"/>
      <c r="O129" s="248"/>
      <c r="P129" s="248"/>
      <c r="Q129" s="105"/>
      <c r="R129" s="242"/>
      <c r="S129" s="242"/>
      <c r="T129" s="242"/>
      <c r="U129" s="242"/>
      <c r="V129" s="242"/>
      <c r="W129" s="172"/>
      <c r="X129" s="244"/>
      <c r="Y129" s="244"/>
      <c r="Z129" s="244"/>
      <c r="AA129" s="244"/>
      <c r="AB129" s="244"/>
      <c r="AC129" s="172"/>
      <c r="AD129" s="244"/>
      <c r="AE129" s="244"/>
      <c r="AF129" s="244"/>
      <c r="AG129" s="244"/>
      <c r="AH129" s="244"/>
      <c r="AI129" s="244"/>
      <c r="AJ129" s="172"/>
      <c r="AK129" s="244"/>
      <c r="AL129" s="244"/>
      <c r="AM129" s="244"/>
      <c r="AN129" s="244"/>
      <c r="AO129" s="244"/>
      <c r="AP129" s="244"/>
      <c r="AQ129" s="64"/>
      <c r="AR129" s="8"/>
    </row>
    <row r="130" spans="2:47" x14ac:dyDescent="0.15"/>
    <row r="131" spans="2:47" ht="21.75" customHeight="1" x14ac:dyDescent="0.15">
      <c r="B131" s="66" t="str">
        <f ca="1">IF(L128="","","この運送の下限額は、")</f>
        <v>この運送の下限額は、</v>
      </c>
      <c r="C131" s="67"/>
      <c r="D131" s="67"/>
      <c r="E131" s="51"/>
      <c r="F131" s="51"/>
      <c r="G131" s="67"/>
      <c r="H131" s="67"/>
      <c r="I131" s="67"/>
      <c r="J131" s="51"/>
      <c r="K131" s="220">
        <f ca="1">IF(L128="","",L128)</f>
        <v>131041</v>
      </c>
      <c r="L131" s="220"/>
      <c r="M131" s="220"/>
      <c r="N131" s="220"/>
      <c r="O131" s="220"/>
      <c r="P131" s="220"/>
      <c r="Q131" s="129"/>
      <c r="R131" s="173" t="str">
        <f ca="1">IF(L128="","","です。")</f>
        <v>です。</v>
      </c>
      <c r="S131" s="67"/>
      <c r="T131" s="67"/>
      <c r="U131" s="67"/>
      <c r="V131" s="67"/>
      <c r="W131" s="220"/>
      <c r="X131" s="220"/>
      <c r="Y131" s="220"/>
      <c r="Z131" s="220"/>
      <c r="AA131" s="220"/>
      <c r="AB131" s="220"/>
      <c r="AC131" s="66"/>
      <c r="AD131" s="67"/>
      <c r="AE131" s="67"/>
      <c r="AF131" s="67"/>
      <c r="AG131" s="67"/>
      <c r="AH131" s="68"/>
      <c r="AI131" s="68"/>
      <c r="AJ131" s="68"/>
      <c r="AK131" s="68"/>
      <c r="AL131" s="68"/>
      <c r="AM131" s="68"/>
      <c r="AN131" s="68"/>
      <c r="AO131" s="68"/>
      <c r="AP131" s="68"/>
      <c r="AQ131" s="68"/>
      <c r="AR131" s="68"/>
      <c r="AS131" s="68"/>
      <c r="AT131" s="68"/>
      <c r="AU131" s="68"/>
    </row>
    <row r="132" spans="2:47" ht="21" x14ac:dyDescent="0.15">
      <c r="B132" s="246" t="str">
        <f ca="1">IF(L128="","","実際の運賃・料金がこの下限額を下回っている場合は、運賃料金の届出に違反しているおそれがあります。")</f>
        <v>実際の運賃・料金がこの下限額を下回っている場合は、運賃料金の届出に違反しているおそれがあります。</v>
      </c>
      <c r="C132" s="246"/>
      <c r="D132" s="246"/>
      <c r="E132" s="246"/>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6"/>
      <c r="AC132" s="246"/>
      <c r="AD132" s="246"/>
      <c r="AE132" s="246"/>
      <c r="AF132" s="246"/>
      <c r="AG132" s="246"/>
      <c r="AH132" s="246"/>
      <c r="AI132" s="246"/>
      <c r="AJ132" s="246"/>
      <c r="AK132" s="246"/>
      <c r="AL132" s="246"/>
      <c r="AM132" s="246"/>
      <c r="AN132" s="246"/>
      <c r="AO132" s="246"/>
      <c r="AP132" s="246"/>
      <c r="AQ132" s="246"/>
      <c r="AR132" s="246"/>
      <c r="AS132" s="246"/>
      <c r="AT132" s="246"/>
      <c r="AU132" s="246"/>
    </row>
    <row r="133" spans="2:47" ht="13.5" hidden="1" customHeight="1" x14ac:dyDescent="0.15">
      <c r="B133" s="68"/>
      <c r="C133" s="68"/>
      <c r="D133" s="68"/>
      <c r="E133" s="68"/>
      <c r="F133" s="68"/>
      <c r="G133" s="68"/>
      <c r="H133" s="68"/>
      <c r="I133" s="68"/>
      <c r="J133" s="68"/>
      <c r="K133" s="68"/>
      <c r="L133" s="68"/>
      <c r="M133" s="68"/>
      <c r="N133" s="68"/>
      <c r="O133" s="68"/>
      <c r="P133" s="68"/>
      <c r="Q133" s="68"/>
      <c r="R133" s="160"/>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row>
    <row r="134" spans="2:47" ht="13.5" hidden="1" customHeight="1" x14ac:dyDescent="0.15">
      <c r="B134" s="68"/>
      <c r="C134" s="68"/>
      <c r="D134" s="68"/>
      <c r="E134" s="68"/>
      <c r="F134" s="68"/>
      <c r="G134" s="68"/>
      <c r="H134" s="68"/>
      <c r="I134" s="68"/>
      <c r="J134" s="68"/>
      <c r="K134" s="68"/>
      <c r="L134" s="68"/>
      <c r="M134" s="68"/>
      <c r="N134" s="68"/>
      <c r="O134" s="68"/>
      <c r="P134" s="68"/>
      <c r="Q134" s="68"/>
      <c r="R134" s="160"/>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row>
    <row r="136" spans="2:47" ht="39.75" hidden="1" customHeight="1" x14ac:dyDescent="0.15"/>
  </sheetData>
  <sheetProtection algorithmName="SHA-512" hashValue="+uIsA5sM6bJWqkob5jq6izw8KJ6zd3/kO/Amlthxtas2YwCa7Dni3pYDmgadWymxAU6k5Ipz9yqnYKeQtYp1fw==" saltValue="l/OY29S+42QaQpN1dRxlWA==" spinCount="100000" sheet="1" selectLockedCells="1"/>
  <protectedRanges>
    <protectedRange password="CA41" sqref="M89 Q89" name="範囲1_1"/>
    <protectedRange password="CA41" sqref="AQ17 P13 T13 P15 T15 P17 T17 AM17 N39 AM13 AQ13 AM15 AQ15 M58 Q58 AQ19 P19 T19 AM19 AQ21 P21 T21 AM21 AQ23 P23 T23 AM23 AQ25 P25 T25 AM25 AQ27 P27 T27 AM27 AQ29 P29 T29 AM29" name="範囲1"/>
  </protectedRanges>
  <mergeCells count="287">
    <mergeCell ref="AD126:AI126"/>
    <mergeCell ref="AK123:AQ123"/>
    <mergeCell ref="H116:K116"/>
    <mergeCell ref="D63:J63"/>
    <mergeCell ref="N63:Q63"/>
    <mergeCell ref="S63:T63"/>
    <mergeCell ref="V63:Z63"/>
    <mergeCell ref="N67:Q67"/>
    <mergeCell ref="S67:T67"/>
    <mergeCell ref="AB63:AF63"/>
    <mergeCell ref="AB69:AF69"/>
    <mergeCell ref="AB67:AF67"/>
    <mergeCell ref="D103:U104"/>
    <mergeCell ref="Q89:R89"/>
    <mergeCell ref="AF93:AG93"/>
    <mergeCell ref="T93:Z93"/>
    <mergeCell ref="M89:N89"/>
    <mergeCell ref="P93:R93"/>
    <mergeCell ref="G106:H106"/>
    <mergeCell ref="M110:P110"/>
    <mergeCell ref="AA111:AG111"/>
    <mergeCell ref="G89:H89"/>
    <mergeCell ref="P92:R92"/>
    <mergeCell ref="B132:AU132"/>
    <mergeCell ref="K131:P131"/>
    <mergeCell ref="AD116:AI116"/>
    <mergeCell ref="X116:AB116"/>
    <mergeCell ref="R116:V116"/>
    <mergeCell ref="AK116:AQ116"/>
    <mergeCell ref="F128:K129"/>
    <mergeCell ref="AK126:AQ126"/>
    <mergeCell ref="R125:V125"/>
    <mergeCell ref="X125:AB125"/>
    <mergeCell ref="AD125:AI125"/>
    <mergeCell ref="AK125:AQ125"/>
    <mergeCell ref="AK118:AQ118"/>
    <mergeCell ref="L128:P129"/>
    <mergeCell ref="R118:V118"/>
    <mergeCell ref="X118:AB118"/>
    <mergeCell ref="AD118:AI118"/>
    <mergeCell ref="L120:P121"/>
    <mergeCell ref="L118:P118"/>
    <mergeCell ref="R128:V129"/>
    <mergeCell ref="X128:AB129"/>
    <mergeCell ref="AD128:AI129"/>
    <mergeCell ref="AK128:AP129"/>
    <mergeCell ref="R126:V126"/>
    <mergeCell ref="AK124:AQ124"/>
    <mergeCell ref="G94:H94"/>
    <mergeCell ref="P97:R97"/>
    <mergeCell ref="P98:R98"/>
    <mergeCell ref="T98:Z98"/>
    <mergeCell ref="AE97:AG97"/>
    <mergeCell ref="AI97:AO97"/>
    <mergeCell ref="AP97:AR97"/>
    <mergeCell ref="T97:Z97"/>
    <mergeCell ref="J95:N95"/>
    <mergeCell ref="J97:N97"/>
    <mergeCell ref="J98:N98"/>
    <mergeCell ref="AK115:AQ115"/>
    <mergeCell ref="AD115:AI115"/>
    <mergeCell ref="R113:U113"/>
    <mergeCell ref="W113:Y113"/>
    <mergeCell ref="AA113:AG113"/>
    <mergeCell ref="P95:R95"/>
    <mergeCell ref="T95:Z95"/>
    <mergeCell ref="R120:V121"/>
    <mergeCell ref="X120:AB121"/>
    <mergeCell ref="AD120:AI121"/>
    <mergeCell ref="AK120:AP121"/>
    <mergeCell ref="L116:P116"/>
    <mergeCell ref="AJ59:AN59"/>
    <mergeCell ref="AG59:AH59"/>
    <mergeCell ref="Q52:T52"/>
    <mergeCell ref="M58:N58"/>
    <mergeCell ref="Q58:R58"/>
    <mergeCell ref="H67:M67"/>
    <mergeCell ref="D69:M69"/>
    <mergeCell ref="H61:J61"/>
    <mergeCell ref="AB59:AE59"/>
    <mergeCell ref="V61:Z61"/>
    <mergeCell ref="S61:T61"/>
    <mergeCell ref="N61:Q61"/>
    <mergeCell ref="AB61:AF61"/>
    <mergeCell ref="L52:O52"/>
    <mergeCell ref="AQ31:AR31"/>
    <mergeCell ref="AM27:AN27"/>
    <mergeCell ref="AO27:AP27"/>
    <mergeCell ref="AQ27:AR27"/>
    <mergeCell ref="AM29:AN29"/>
    <mergeCell ref="AO29:AP29"/>
    <mergeCell ref="AQ29:AR29"/>
    <mergeCell ref="P31:Q31"/>
    <mergeCell ref="T31:U31"/>
    <mergeCell ref="AB31:AC31"/>
    <mergeCell ref="AF31:AG31"/>
    <mergeCell ref="P29:Q29"/>
    <mergeCell ref="T29:U29"/>
    <mergeCell ref="AB29:AC29"/>
    <mergeCell ref="AF29:AG29"/>
    <mergeCell ref="AJ29:AL29"/>
    <mergeCell ref="V30:AJ30"/>
    <mergeCell ref="K46:M46"/>
    <mergeCell ref="K45:M45"/>
    <mergeCell ref="Y46:AB46"/>
    <mergeCell ref="O46:Q46"/>
    <mergeCell ref="Y45:AB45"/>
    <mergeCell ref="U46:W46"/>
    <mergeCell ref="AI80:AM80"/>
    <mergeCell ref="AI76:AM76"/>
    <mergeCell ref="AQ33:AR33"/>
    <mergeCell ref="N39:P39"/>
    <mergeCell ref="T39:V39"/>
    <mergeCell ref="R39:S39"/>
    <mergeCell ref="N76:Q76"/>
    <mergeCell ref="S76:T76"/>
    <mergeCell ref="V76:Z76"/>
    <mergeCell ref="AB76:AF76"/>
    <mergeCell ref="N78:Q78"/>
    <mergeCell ref="S78:T78"/>
    <mergeCell ref="V78:Z78"/>
    <mergeCell ref="AB78:AF78"/>
    <mergeCell ref="AI69:AM69"/>
    <mergeCell ref="N69:Q69"/>
    <mergeCell ref="AI63:AM63"/>
    <mergeCell ref="S65:T65"/>
    <mergeCell ref="U45:W45"/>
    <mergeCell ref="O48:Q48"/>
    <mergeCell ref="P27:Q27"/>
    <mergeCell ref="T27:U27"/>
    <mergeCell ref="AB27:AC27"/>
    <mergeCell ref="Y48:AB48"/>
    <mergeCell ref="N37:P37"/>
    <mergeCell ref="N36:P36"/>
    <mergeCell ref="R37:T37"/>
    <mergeCell ref="V32:AJ32"/>
    <mergeCell ref="AF48:AK48"/>
    <mergeCell ref="AF46:AK46"/>
    <mergeCell ref="K48:M48"/>
    <mergeCell ref="I50:K51"/>
    <mergeCell ref="U48:W48"/>
    <mergeCell ref="V52:Z52"/>
    <mergeCell ref="AB53:AG53"/>
    <mergeCell ref="Q50:T50"/>
    <mergeCell ref="L51:O51"/>
    <mergeCell ref="Q51:T51"/>
    <mergeCell ref="V51:Z51"/>
    <mergeCell ref="L50:O50"/>
    <mergeCell ref="V65:Z65"/>
    <mergeCell ref="N65:Q65"/>
    <mergeCell ref="AB65:AF65"/>
    <mergeCell ref="H74:J74"/>
    <mergeCell ref="D76:J76"/>
    <mergeCell ref="N74:Q74"/>
    <mergeCell ref="S74:T74"/>
    <mergeCell ref="V74:Z74"/>
    <mergeCell ref="V67:Z67"/>
    <mergeCell ref="V69:Z69"/>
    <mergeCell ref="AB74:AF74"/>
    <mergeCell ref="S69:T69"/>
    <mergeCell ref="N71:Q71"/>
    <mergeCell ref="S71:T71"/>
    <mergeCell ref="V71:Z71"/>
    <mergeCell ref="AB71:AF71"/>
    <mergeCell ref="Q106:S106"/>
    <mergeCell ref="L124:P124"/>
    <mergeCell ref="F126:K126"/>
    <mergeCell ref="L126:P126"/>
    <mergeCell ref="R123:V123"/>
    <mergeCell ref="X123:AB123"/>
    <mergeCell ref="W111:Y111"/>
    <mergeCell ref="H78:J78"/>
    <mergeCell ref="D80:J80"/>
    <mergeCell ref="N80:Q80"/>
    <mergeCell ref="V80:Z80"/>
    <mergeCell ref="AB80:AF80"/>
    <mergeCell ref="S80:T80"/>
    <mergeCell ref="H124:K124"/>
    <mergeCell ref="Q108:S108"/>
    <mergeCell ref="AD123:AI123"/>
    <mergeCell ref="R115:V115"/>
    <mergeCell ref="X115:AB115"/>
    <mergeCell ref="R124:V124"/>
    <mergeCell ref="X124:AB124"/>
    <mergeCell ref="AD124:AI124"/>
    <mergeCell ref="F120:K121"/>
    <mergeCell ref="F118:K118"/>
    <mergeCell ref="X126:AB126"/>
    <mergeCell ref="P17:Q17"/>
    <mergeCell ref="T17:U17"/>
    <mergeCell ref="AM19:AN19"/>
    <mergeCell ref="AO19:AP19"/>
    <mergeCell ref="AQ19:AR19"/>
    <mergeCell ref="AM13:AN13"/>
    <mergeCell ref="AM15:AN15"/>
    <mergeCell ref="W131:AB131"/>
    <mergeCell ref="B116:E117"/>
    <mergeCell ref="B124:E125"/>
    <mergeCell ref="J113:L113"/>
    <mergeCell ref="N113:P113"/>
    <mergeCell ref="J111:L111"/>
    <mergeCell ref="J93:N93"/>
    <mergeCell ref="J92:N92"/>
    <mergeCell ref="W110:Y110"/>
    <mergeCell ref="J110:L110"/>
    <mergeCell ref="N111:P111"/>
    <mergeCell ref="R110:U110"/>
    <mergeCell ref="R111:U111"/>
    <mergeCell ref="M105:O105"/>
    <mergeCell ref="Q105:S105"/>
    <mergeCell ref="M106:O106"/>
    <mergeCell ref="M108:O108"/>
    <mergeCell ref="AF23:AG23"/>
    <mergeCell ref="AJ23:AL23"/>
    <mergeCell ref="V26:AJ26"/>
    <mergeCell ref="V20:AJ20"/>
    <mergeCell ref="T21:U21"/>
    <mergeCell ref="AB21:AC21"/>
    <mergeCell ref="AF21:AG21"/>
    <mergeCell ref="AJ21:AL21"/>
    <mergeCell ref="P19:Q19"/>
    <mergeCell ref="T19:U19"/>
    <mergeCell ref="AB19:AC19"/>
    <mergeCell ref="AF19:AG19"/>
    <mergeCell ref="N7:AV7"/>
    <mergeCell ref="N8:AV8"/>
    <mergeCell ref="AO21:AP21"/>
    <mergeCell ref="V22:AJ22"/>
    <mergeCell ref="AJ31:AL31"/>
    <mergeCell ref="AM31:AN31"/>
    <mergeCell ref="AO31:AP31"/>
    <mergeCell ref="T23:U23"/>
    <mergeCell ref="V24:AJ24"/>
    <mergeCell ref="AB25:AC25"/>
    <mergeCell ref="AF25:AG25"/>
    <mergeCell ref="AJ25:AL25"/>
    <mergeCell ref="AO25:AP25"/>
    <mergeCell ref="AM25:AN25"/>
    <mergeCell ref="AM21:AN21"/>
    <mergeCell ref="P25:Q25"/>
    <mergeCell ref="T25:U25"/>
    <mergeCell ref="AJ13:AL13"/>
    <mergeCell ref="AJ15:AL15"/>
    <mergeCell ref="P13:Q13"/>
    <mergeCell ref="AJ17:AL17"/>
    <mergeCell ref="AB23:AC23"/>
    <mergeCell ref="P23:Q23"/>
    <mergeCell ref="V28:AJ28"/>
    <mergeCell ref="J10:L10"/>
    <mergeCell ref="B9:D10"/>
    <mergeCell ref="AF13:AG13"/>
    <mergeCell ref="AF15:AG15"/>
    <mergeCell ref="AB12:AG12"/>
    <mergeCell ref="N9:P9"/>
    <mergeCell ref="R9:T9"/>
    <mergeCell ref="R10:T10"/>
    <mergeCell ref="N10:P10"/>
    <mergeCell ref="P12:U12"/>
    <mergeCell ref="P15:Q15"/>
    <mergeCell ref="T15:U15"/>
    <mergeCell ref="AB13:AC13"/>
    <mergeCell ref="T13:U13"/>
    <mergeCell ref="V14:AJ14"/>
    <mergeCell ref="AQ25:AR25"/>
    <mergeCell ref="P21:Q21"/>
    <mergeCell ref="AJ12:AR12"/>
    <mergeCell ref="AQ17:AR17"/>
    <mergeCell ref="AC33:AE33"/>
    <mergeCell ref="AF27:AG27"/>
    <mergeCell ref="AJ27:AL27"/>
    <mergeCell ref="BE2:BJ2"/>
    <mergeCell ref="V18:AJ18"/>
    <mergeCell ref="AB15:AC15"/>
    <mergeCell ref="AB17:AC17"/>
    <mergeCell ref="AJ19:AL19"/>
    <mergeCell ref="AF17:AG17"/>
    <mergeCell ref="AM17:AN17"/>
    <mergeCell ref="AQ13:AR13"/>
    <mergeCell ref="AO15:AP15"/>
    <mergeCell ref="AQ15:AR15"/>
    <mergeCell ref="AO13:AP13"/>
    <mergeCell ref="AO17:AP17"/>
    <mergeCell ref="AQ21:AR21"/>
    <mergeCell ref="AM23:AN23"/>
    <mergeCell ref="AO23:AP23"/>
    <mergeCell ref="AQ23:AR23"/>
    <mergeCell ref="D1:AA2"/>
  </mergeCells>
  <phoneticPr fontId="2"/>
  <conditionalFormatting sqref="M89 Q89">
    <cfRule type="expression" dxfId="37" priority="9">
      <formula>$AW$86=FALSE</formula>
    </cfRule>
    <cfRule type="expression" dxfId="36" priority="10">
      <formula>$AW$86=FALSE</formula>
    </cfRule>
  </conditionalFormatting>
  <conditionalFormatting sqref="M58:N58 Q58:R58">
    <cfRule type="expression" dxfId="35" priority="14">
      <formula>$AQ$33=0</formula>
    </cfRule>
  </conditionalFormatting>
  <conditionalFormatting sqref="S65:T65 S71:T71">
    <cfRule type="cellIs" dxfId="34" priority="2" operator="equal">
      <formula>0</formula>
    </cfRule>
  </conditionalFormatting>
  <conditionalFormatting sqref="AN63:AN64 AN69 AN72:AN84">
    <cfRule type="expression" dxfId="33" priority="12">
      <formula>$AQ$33=0</formula>
    </cfRule>
  </conditionalFormatting>
  <dataValidations count="38">
    <dataValidation type="whole" allowBlank="1" showInputMessage="1" showErrorMessage="1" errorTitle="警告" error="上限額と下限額の範囲内で設定してください！" sqref="BK33" xr:uid="{00000000-0002-0000-0100-000000000000}">
      <formula1>BN13</formula1>
      <formula2>BL13</formula2>
    </dataValidation>
    <dataValidation type="whole" allowBlank="1" showInputMessage="1" showErrorMessage="1" errorTitle="範囲外で設定されています！" error="上限額と下限額の範囲内で設定してください！" sqref="AM109" xr:uid="{00000000-0002-0000-0100-000001000000}">
      <formula1>CN109</formula1>
      <formula2>CL109</formula2>
    </dataValidation>
    <dataValidation type="whole" allowBlank="1" showInputMessage="1" showErrorMessage="1" errorTitle="範囲外で設定されています！" error="上限額と下限額の範囲内で設定してください！" sqref="AG10:AG11" xr:uid="{00000000-0002-0000-0100-000002000000}">
      <formula1>BW10</formula1>
      <formula2>BU10</formula2>
    </dataValidation>
    <dataValidation type="whole" allowBlank="1" showInputMessage="1" showErrorMessage="1" errorTitle="範囲外で設定されています！" error="上限額と下限額の範囲内で設定してください！" sqref="AF10:AF11" xr:uid="{00000000-0002-0000-0100-000003000000}">
      <formula1>BW10</formula1>
      <formula2>BU10</formula2>
    </dataValidation>
    <dataValidation type="whole" allowBlank="1" showInputMessage="1" showErrorMessage="1" errorTitle="範囲外で設定されています！" error="上限額と下限額の範囲内で設定してください！" sqref="AE10:AE11" xr:uid="{00000000-0002-0000-0100-000004000000}">
      <formula1>BW10</formula1>
      <formula2>BU10</formula2>
    </dataValidation>
    <dataValidation type="whole" allowBlank="1" showInputMessage="1" showErrorMessage="1" errorTitle="範囲外で設定されています！" error="上限額と下限額の範囲内で設定してください！" sqref="AD10:AD11" xr:uid="{00000000-0002-0000-0100-000005000000}">
      <formula1>BW10</formula1>
      <formula2>BU10</formula2>
    </dataValidation>
    <dataValidation type="whole" allowBlank="1" showInputMessage="1" showErrorMessage="1" errorTitle="範囲外で設定されています！" error="上限額と下限額の範囲内で設定してください！" sqref="AC10:AC11" xr:uid="{00000000-0002-0000-0100-000006000000}">
      <formula1>BW10</formula1>
      <formula2>BU10</formula2>
    </dataValidation>
    <dataValidation type="whole" allowBlank="1" showInputMessage="1" showErrorMessage="1" errorTitle="範囲外で設定されています！" error="上限額と下限額の範囲内で設定してください！" sqref="AB10:AB11" xr:uid="{00000000-0002-0000-0100-000007000000}">
      <formula1>BW10</formula1>
      <formula2>BU10</formula2>
    </dataValidation>
    <dataValidation type="whole" allowBlank="1" showInputMessage="1" showErrorMessage="1" errorTitle="範囲外で設定されています！" error="上限額と下限額の範囲内で設定してください！" sqref="AR109" xr:uid="{00000000-0002-0000-0100-000008000000}">
      <formula1>CN109</formula1>
      <formula2>CL109</formula2>
    </dataValidation>
    <dataValidation type="whole" allowBlank="1" showInputMessage="1" showErrorMessage="1" errorTitle="範囲外で設定されています！" error="上限額と下限額の範囲内で設定してください！" sqref="V10:Y11 AP109" xr:uid="{00000000-0002-0000-0100-000009000000}">
      <formula1>BT10</formula1>
      <formula2>BR10</formula2>
    </dataValidation>
    <dataValidation type="whole" allowBlank="1" showInputMessage="1" showErrorMessage="1" errorTitle="範囲外で設定されています！" error="上限額と下限額の範囲内で設定してください！" sqref="Z10:Z11 AQ109" xr:uid="{00000000-0002-0000-0100-00000A000000}">
      <formula1>BW10</formula1>
      <formula2>BU10</formula2>
    </dataValidation>
    <dataValidation type="whole" allowBlank="1" showInputMessage="1" showErrorMessage="1" errorTitle="範囲外で設定されています！" error="上限額と下限額の範囲内で設定してください！" sqref="AK10:AK11" xr:uid="{00000000-0002-0000-0100-00000B000000}">
      <formula1>U10</formula1>
      <formula2>Q10</formula2>
    </dataValidation>
    <dataValidation type="whole" allowBlank="1" showInputMessage="1" showErrorMessage="1" errorTitle="範囲外で設定されています！" error="上限額と下限額の範囲内で設定してください！" sqref="AJ10:AJ11" xr:uid="{00000000-0002-0000-0100-00000C000000}">
      <formula1>U10</formula1>
      <formula2>Q10</formula2>
    </dataValidation>
    <dataValidation type="whole" allowBlank="1" showInputMessage="1" showErrorMessage="1" errorTitle="範囲外で設定されています！" error="上限額と下限額の範囲内で設定してください！" sqref="S109" xr:uid="{00000000-0002-0000-0100-00000D000000}">
      <formula1>T106</formula1>
      <formula2>P106</formula2>
    </dataValidation>
    <dataValidation type="whole" allowBlank="1" showInputMessage="1" showErrorMessage="1" errorTitle="範囲外で設定されています！" error="上限額と下限額の範囲内で設定してください！" sqref="R109" xr:uid="{00000000-0002-0000-0100-00000E000000}">
      <formula1>T106</formula1>
      <formula2>P106</formula2>
    </dataValidation>
    <dataValidation type="whole" allowBlank="1" showInputMessage="1" showErrorMessage="1" errorTitle="範囲外で設定されています！" error="上限額と下限額の範囲内で設定してください！" sqref="P109" xr:uid="{00000000-0002-0000-0100-00000F000000}">
      <formula1>T106</formula1>
      <formula2>P106</formula2>
    </dataValidation>
    <dataValidation type="whole" allowBlank="1" showInputMessage="1" showErrorMessage="1" errorTitle="範囲外で設定されています！" error="上限額と下限額の範囲内で設定してください！" sqref="N109" xr:uid="{00000000-0002-0000-0100-000010000000}">
      <formula1>T106</formula1>
      <formula2>P106</formula2>
    </dataValidation>
    <dataValidation type="whole" allowBlank="1" showInputMessage="1" showErrorMessage="1" errorTitle="範囲外で設定されています！" error="上限額と下限額の範囲内で設定してください！" sqref="S114" xr:uid="{00000000-0002-0000-0100-000011000000}">
      <formula1>AF110</formula1>
      <formula2>AB110</formula2>
    </dataValidation>
    <dataValidation type="whole" allowBlank="1" showInputMessage="1" showErrorMessage="1" errorTitle="範囲外で設定されています！" error="上限額と下限額の範囲内で設定してください！" sqref="R114" xr:uid="{00000000-0002-0000-0100-000012000000}">
      <formula1>AF110</formula1>
      <formula2>AB110</formula2>
    </dataValidation>
    <dataValidation type="whole" allowBlank="1" showInputMessage="1" showErrorMessage="1" errorTitle="範囲外で設定されています！" error="上限額と下限額の範囲内で設定してください！" sqref="AO109" xr:uid="{00000000-0002-0000-0100-000013000000}">
      <formula1>CN109</formula1>
      <formula2>CL109</formula2>
    </dataValidation>
    <dataValidation type="whole" allowBlank="1" showInputMessage="1" showErrorMessage="1" errorTitle="範囲外で設定されています！" error="上限額と下限額の範囲内で設定してください！" sqref="AN109" xr:uid="{00000000-0002-0000-0100-000014000000}">
      <formula1>CN109</formula1>
      <formula2>CL109</formula2>
    </dataValidation>
    <dataValidation type="whole" allowBlank="1" showInputMessage="1" showErrorMessage="1" errorTitle="範囲外で設定されています！" error="上限額と下限額の範囲内で設定してください！" sqref="AJ109:AK109" xr:uid="{00000000-0002-0000-0100-000015000000}">
      <formula1>CM109</formula1>
      <formula2>CK109</formula2>
    </dataValidation>
    <dataValidation type="whole" allowBlank="1" showInputMessage="1" showErrorMessage="1" errorTitle="範囲外で設定されています！" error="上限額と下限額の範囲内で設定してください！" sqref="AL109" xr:uid="{00000000-0002-0000-0100-000016000000}">
      <formula1>CN109</formula1>
      <formula2>CL109</formula2>
    </dataValidation>
    <dataValidation type="whole" allowBlank="1" showInputMessage="1" showErrorMessage="1" errorTitle="範囲外で設定されています！" error="上限額と下限額の範囲内で設定してください！" sqref="O109" xr:uid="{00000000-0002-0000-0100-000017000000}">
      <formula1>CN109</formula1>
      <formula2>CL109</formula2>
    </dataValidation>
    <dataValidation type="whole" allowBlank="1" showInputMessage="1" showErrorMessage="1" errorTitle="警告" error="上限額と下限額の範囲内で設定してください！" sqref="AZ36" xr:uid="{00000000-0002-0000-0100-000018000000}">
      <formula1>BN14</formula1>
      <formula2>#REF!</formula2>
    </dataValidation>
    <dataValidation type="whole" allowBlank="1" showInputMessage="1" showErrorMessage="1" errorTitle="範囲外で設定されています！" error="上限額と下限額の範囲内で設定してください！" sqref="AW38" xr:uid="{00000000-0002-0000-0100-000019000000}">
      <formula1>T37</formula1>
      <formula2>BM38</formula2>
    </dataValidation>
    <dataValidation type="whole" allowBlank="1" showInputMessage="1" showErrorMessage="1" errorTitle="範囲外で設定されています！" error="上限額と下限額の範囲内で設定してください！" sqref="AV38" xr:uid="{00000000-0002-0000-0100-00001A000000}">
      <formula1>T37</formula1>
      <formula2>BM38</formula2>
    </dataValidation>
    <dataValidation type="whole" allowBlank="1" showInputMessage="1" showErrorMessage="1" errorTitle="警告" error="上限額と下限額の範囲内で設定してください！" sqref="BK34" xr:uid="{00000000-0002-0000-0100-00001B000000}">
      <formula1>BN13</formula1>
      <formula2>#REF!</formula2>
    </dataValidation>
    <dataValidation type="whole" allowBlank="1" showInputMessage="1" showErrorMessage="1" errorTitle="警告" error="上限額と下限額の範囲内で設定してください！" sqref="AZ35" xr:uid="{00000000-0002-0000-0100-00001C000000}">
      <formula1>BN14</formula1>
      <formula2>#REF!</formula2>
    </dataValidation>
    <dataValidation type="whole" allowBlank="1" showInputMessage="1" showErrorMessage="1" errorTitle="範囲外で設定されています！" error="上限額と下限額の範囲内で設定してください！" sqref="S112" xr:uid="{00000000-0002-0000-0100-00001D000000}">
      <formula1>T108</formula1>
      <formula2>P108</formula2>
    </dataValidation>
    <dataValidation type="whole" allowBlank="1" showInputMessage="1" showErrorMessage="1" errorTitle="範囲外で設定されています！" error="上限額と下限額の範囲内で設定してください！" sqref="R112" xr:uid="{00000000-0002-0000-0100-00001E000000}">
      <formula1>T108</formula1>
      <formula2>P108</formula2>
    </dataValidation>
    <dataValidation type="whole" operator="lessThanOrEqual" allowBlank="1" showInputMessage="1" showErrorMessage="1" errorTitle="５０％以内です！" error="割増率は５０％以内です！" sqref="M89 Q89" xr:uid="{00000000-0002-0000-0100-00001F000000}">
      <formula1>50</formula1>
    </dataValidation>
    <dataValidation type="whole" operator="lessThanOrEqual" allowBlank="1" showInputMessage="1" showErrorMessage="1" errorTitle="２０％以内です！" error="割増率は２０％以内です！" sqref="M60 M58 Q58" xr:uid="{00000000-0002-0000-0100-000020000000}">
      <formula1>20</formula1>
    </dataValidation>
    <dataValidation type="whole" operator="notBetween" allowBlank="1" showInputMessage="1" showErrorMessage="1" errorTitle="最低３時間です" error="３時間未満の場合は、3時間となります。" sqref="P14 T14 T16 T32 P18 T18 T20 P20 P22 T22 P24 T24 T26 P26 P32 T28 P28 P30 T30" xr:uid="{00000000-0002-0000-0100-000021000000}">
      <formula1>1</formula1>
      <formula2>2</formula2>
    </dataValidation>
    <dataValidation type="whole" operator="greaterThanOrEqual" allowBlank="1" showInputMessage="1" showErrorMessage="1" errorTitle="最低３時間です" error="３時間未満の場合は、3時間となります。" sqref="W33 AV33:AW33" xr:uid="{00000000-0002-0000-0100-000022000000}">
      <formula1>3</formula1>
    </dataValidation>
    <dataValidation type="whole" operator="greaterThanOrEqual" allowBlank="1" showInputMessage="1" showErrorMessage="1" errorTitle="最低３時間です！" error="３時間未満の場合は、3時間となります！" sqref="BP15:BP16 BP33:BP34 BE35:BE36" xr:uid="{00000000-0002-0000-0100-000023000000}">
      <formula1>3</formula1>
    </dataValidation>
    <dataValidation allowBlank="1" showDropDown="1" showInputMessage="1" showErrorMessage="1" sqref="G6:H6" xr:uid="{00000000-0002-0000-0100-000024000000}"/>
    <dataValidation type="whole" allowBlank="1" showInputMessage="1" showErrorMessage="1" errorTitle="警告" error="上限額と下限額の範囲内で設定してください！" sqref="BK17:BK32" xr:uid="{00000000-0002-0000-0100-000025000000}">
      <formula1>BN12</formula1>
      <formula2>BL12</formula2>
    </dataValidation>
  </dataValidations>
  <pageMargins left="0.70866141732283472" right="0.23" top="0.39370078740157483" bottom="0.23622047244094491" header="0.31496062992125984" footer="0.23622047244094491"/>
  <pageSetup paperSize="9" scale="5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3" r:id="rId4" name="Option Button 19">
              <controlPr locked="0" defaultSize="0" autoFill="0" autoLine="0" autoPict="0" altText="">
                <anchor moveWithCells="1">
                  <from>
                    <xdr:col>6</xdr:col>
                    <xdr:colOff>47625</xdr:colOff>
                    <xdr:row>5</xdr:row>
                    <xdr:rowOff>38100</xdr:rowOff>
                  </from>
                  <to>
                    <xdr:col>8</xdr:col>
                    <xdr:colOff>180975</xdr:colOff>
                    <xdr:row>5</xdr:row>
                    <xdr:rowOff>209550</xdr:rowOff>
                  </to>
                </anchor>
              </controlPr>
            </control>
          </mc:Choice>
        </mc:AlternateContent>
        <mc:AlternateContent xmlns:mc="http://schemas.openxmlformats.org/markup-compatibility/2006">
          <mc:Choice Requires="x14">
            <control shapeId="1044" r:id="rId5" name="Option Button 20">
              <controlPr defaultSize="0" autoFill="0" autoLine="0" autoPict="0">
                <anchor moveWithCells="1">
                  <from>
                    <xdr:col>10</xdr:col>
                    <xdr:colOff>66675</xdr:colOff>
                    <xdr:row>5</xdr:row>
                    <xdr:rowOff>28575</xdr:rowOff>
                  </from>
                  <to>
                    <xdr:col>12</xdr:col>
                    <xdr:colOff>161925</xdr:colOff>
                    <xdr:row>5</xdr:row>
                    <xdr:rowOff>209550</xdr:rowOff>
                  </to>
                </anchor>
              </controlPr>
            </control>
          </mc:Choice>
        </mc:AlternateContent>
        <mc:AlternateContent xmlns:mc="http://schemas.openxmlformats.org/markup-compatibility/2006">
          <mc:Choice Requires="x14">
            <control shapeId="1045" r:id="rId6" name="Group Box 21">
              <controlPr defaultSize="0" autoFill="0" autoPict="0">
                <anchor moveWithCells="1">
                  <from>
                    <xdr:col>5</xdr:col>
                    <xdr:colOff>38100</xdr:colOff>
                    <xdr:row>4</xdr:row>
                    <xdr:rowOff>95250</xdr:rowOff>
                  </from>
                  <to>
                    <xdr:col>27</xdr:col>
                    <xdr:colOff>95250</xdr:colOff>
                    <xdr:row>6</xdr:row>
                    <xdr:rowOff>76200</xdr:rowOff>
                  </to>
                </anchor>
              </controlPr>
            </control>
          </mc:Choice>
        </mc:AlternateContent>
        <mc:AlternateContent xmlns:mc="http://schemas.openxmlformats.org/markup-compatibility/2006">
          <mc:Choice Requires="x14">
            <control shapeId="1046" r:id="rId7" name="Group Box 22">
              <controlPr defaultSize="0" autoFill="0" autoPict="0">
                <anchor moveWithCells="1">
                  <from>
                    <xdr:col>8</xdr:col>
                    <xdr:colOff>28575</xdr:colOff>
                    <xdr:row>39</xdr:row>
                    <xdr:rowOff>123825</xdr:rowOff>
                  </from>
                  <to>
                    <xdr:col>23</xdr:col>
                    <xdr:colOff>133350</xdr:colOff>
                    <xdr:row>43</xdr:row>
                    <xdr:rowOff>133350</xdr:rowOff>
                  </to>
                </anchor>
              </controlPr>
            </control>
          </mc:Choice>
        </mc:AlternateContent>
        <mc:AlternateContent xmlns:mc="http://schemas.openxmlformats.org/markup-compatibility/2006">
          <mc:Choice Requires="x14">
            <control shapeId="1047" r:id="rId8" name="Option Button 23">
              <controlPr defaultSize="0" autoFill="0" autoLine="0" autoPict="0">
                <anchor moveWithCells="1">
                  <from>
                    <xdr:col>14</xdr:col>
                    <xdr:colOff>19050</xdr:colOff>
                    <xdr:row>5</xdr:row>
                    <xdr:rowOff>38100</xdr:rowOff>
                  </from>
                  <to>
                    <xdr:col>16</xdr:col>
                    <xdr:colOff>190500</xdr:colOff>
                    <xdr:row>5</xdr:row>
                    <xdr:rowOff>209550</xdr:rowOff>
                  </to>
                </anchor>
              </controlPr>
            </control>
          </mc:Choice>
        </mc:AlternateContent>
        <mc:AlternateContent xmlns:mc="http://schemas.openxmlformats.org/markup-compatibility/2006">
          <mc:Choice Requires="x14">
            <control shapeId="1050" r:id="rId9" name="Group Box 26">
              <controlPr defaultSize="0" autoFill="0" autoPict="0">
                <anchor moveWithCells="1">
                  <from>
                    <xdr:col>6</xdr:col>
                    <xdr:colOff>85725</xdr:colOff>
                    <xdr:row>4</xdr:row>
                    <xdr:rowOff>95250</xdr:rowOff>
                  </from>
                  <to>
                    <xdr:col>29</xdr:col>
                    <xdr:colOff>38100</xdr:colOff>
                    <xdr:row>6</xdr:row>
                    <xdr:rowOff>66675</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3</xdr:col>
                    <xdr:colOff>0</xdr:colOff>
                    <xdr:row>84</xdr:row>
                    <xdr:rowOff>38100</xdr:rowOff>
                  </from>
                  <to>
                    <xdr:col>4</xdr:col>
                    <xdr:colOff>19050</xdr:colOff>
                    <xdr:row>86</xdr:row>
                    <xdr:rowOff>38100</xdr:rowOff>
                  </to>
                </anchor>
              </controlPr>
            </control>
          </mc:Choice>
        </mc:AlternateContent>
        <mc:AlternateContent xmlns:mc="http://schemas.openxmlformats.org/markup-compatibility/2006">
          <mc:Choice Requires="x14">
            <control shapeId="1053" r:id="rId11" name="Check Box 29">
              <controlPr locked="0" defaultSize="0" autoFill="0" autoLine="0" autoPict="0">
                <anchor moveWithCells="1">
                  <from>
                    <xdr:col>3</xdr:col>
                    <xdr:colOff>19050</xdr:colOff>
                    <xdr:row>100</xdr:row>
                    <xdr:rowOff>114300</xdr:rowOff>
                  </from>
                  <to>
                    <xdr:col>4</xdr:col>
                    <xdr:colOff>47625</xdr:colOff>
                    <xdr:row>102</xdr:row>
                    <xdr:rowOff>57150</xdr:rowOff>
                  </to>
                </anchor>
              </controlPr>
            </control>
          </mc:Choice>
        </mc:AlternateContent>
        <mc:AlternateContent xmlns:mc="http://schemas.openxmlformats.org/markup-compatibility/2006">
          <mc:Choice Requires="x14">
            <control shapeId="1054" r:id="rId12" name="Check Box 30">
              <controlPr locked="0" defaultSize="0" autoFill="0" autoLine="0" autoPict="0">
                <anchor moveWithCells="1">
                  <from>
                    <xdr:col>3</xdr:col>
                    <xdr:colOff>0</xdr:colOff>
                    <xdr:row>84</xdr:row>
                    <xdr:rowOff>38100</xdr:rowOff>
                  </from>
                  <to>
                    <xdr:col>4</xdr:col>
                    <xdr:colOff>28575</xdr:colOff>
                    <xdr:row>86</xdr:row>
                    <xdr:rowOff>47625</xdr:rowOff>
                  </to>
                </anchor>
              </controlPr>
            </control>
          </mc:Choice>
        </mc:AlternateContent>
        <mc:AlternateContent xmlns:mc="http://schemas.openxmlformats.org/markup-compatibility/2006">
          <mc:Choice Requires="x14">
            <control shapeId="1056" r:id="rId13" name="Drop Down 32">
              <controlPr locked="0" defaultSize="0" autoLine="0" autoPict="0">
                <anchor moveWithCells="1">
                  <from>
                    <xdr:col>5</xdr:col>
                    <xdr:colOff>209550</xdr:colOff>
                    <xdr:row>2</xdr:row>
                    <xdr:rowOff>133350</xdr:rowOff>
                  </from>
                  <to>
                    <xdr:col>9</xdr:col>
                    <xdr:colOff>95250</xdr:colOff>
                    <xdr:row>4</xdr:row>
                    <xdr:rowOff>9525</xdr:rowOff>
                  </to>
                </anchor>
              </controlPr>
            </control>
          </mc:Choice>
        </mc:AlternateContent>
        <mc:AlternateContent xmlns:mc="http://schemas.openxmlformats.org/markup-compatibility/2006">
          <mc:Choice Requires="x14">
            <control shapeId="1058" r:id="rId14" name="Option Button 34">
              <controlPr defaultSize="0" autoFill="0" autoLine="0" autoPict="0">
                <anchor moveWithCells="1">
                  <from>
                    <xdr:col>18</xdr:col>
                    <xdr:colOff>276225</xdr:colOff>
                    <xdr:row>5</xdr:row>
                    <xdr:rowOff>38100</xdr:rowOff>
                  </from>
                  <to>
                    <xdr:col>21</xdr:col>
                    <xdr:colOff>47625</xdr:colOff>
                    <xdr:row>5</xdr:row>
                    <xdr:rowOff>209550</xdr:rowOff>
                  </to>
                </anchor>
              </controlPr>
            </control>
          </mc:Choice>
        </mc:AlternateContent>
        <mc:AlternateContent xmlns:mc="http://schemas.openxmlformats.org/markup-compatibility/2006">
          <mc:Choice Requires="x14">
            <control shapeId="1060" r:id="rId15" name="Option Button 36">
              <controlPr defaultSize="0" autoFill="0" autoLine="0" autoPict="0">
                <anchor moveWithCells="1">
                  <from>
                    <xdr:col>23</xdr:col>
                    <xdr:colOff>123825</xdr:colOff>
                    <xdr:row>5</xdr:row>
                    <xdr:rowOff>38100</xdr:rowOff>
                  </from>
                  <to>
                    <xdr:col>26</xdr:col>
                    <xdr:colOff>19050</xdr:colOff>
                    <xdr:row>5</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127"/>
  <sheetViews>
    <sheetView showGridLines="0" showRowColHeaders="0" tabSelected="1" view="pageBreakPreview" zoomScale="90" zoomScaleNormal="90" zoomScaleSheetLayoutView="90" workbookViewId="0">
      <selection activeCell="O13" sqref="O13:P13"/>
    </sheetView>
  </sheetViews>
  <sheetFormatPr defaultColWidth="0" defaultRowHeight="13.5" customHeight="1" zeroHeight="1" x14ac:dyDescent="0.15"/>
  <cols>
    <col min="1" max="2" width="4" style="5" customWidth="1"/>
    <col min="3" max="7" width="3.625" style="5" customWidth="1"/>
    <col min="8" max="9" width="3.125" style="5" customWidth="1"/>
    <col min="10" max="15" width="3.625" style="5" customWidth="1"/>
    <col min="16" max="17" width="2.625" style="5" customWidth="1"/>
    <col min="18" max="18" width="2.875" style="5" customWidth="1"/>
    <col min="19" max="19" width="4" style="5" customWidth="1"/>
    <col min="20" max="20" width="2.75" style="5" customWidth="1"/>
    <col min="21" max="21" width="3.5" style="5" customWidth="1"/>
    <col min="22" max="22" width="3.625" style="5" customWidth="1"/>
    <col min="23" max="24" width="3.125" style="5" customWidth="1"/>
    <col min="25" max="25" width="2.375" style="5" customWidth="1"/>
    <col min="26" max="26" width="3.125" style="5" customWidth="1"/>
    <col min="27" max="27" width="3" style="5" customWidth="1"/>
    <col min="28" max="29" width="2.625" style="5" customWidth="1"/>
    <col min="30" max="30" width="3.625" style="5" customWidth="1"/>
    <col min="31" max="31" width="2.125" style="5" customWidth="1"/>
    <col min="32" max="33" width="2.625" style="5" customWidth="1"/>
    <col min="34" max="35" width="3.625" style="5" customWidth="1"/>
    <col min="36" max="38" width="3" style="5" customWidth="1"/>
    <col min="39" max="39" width="2.625" style="5" customWidth="1"/>
    <col min="40" max="40" width="7" style="5" bestFit="1" customWidth="1"/>
    <col min="41" max="42" width="2.75" style="5" customWidth="1"/>
    <col min="43" max="44" width="3.125" style="5" customWidth="1"/>
    <col min="45" max="45" width="3.625" style="5" customWidth="1"/>
    <col min="46" max="48" width="3.875" style="5" customWidth="1"/>
    <col min="49" max="50" width="3.875" style="24" customWidth="1"/>
    <col min="51" max="52" width="3.875" style="24" hidden="1"/>
    <col min="53" max="53" width="7.125" style="24" hidden="1"/>
    <col min="54" max="54" width="3.25" style="24" hidden="1"/>
    <col min="55" max="55" width="7.125" style="31" hidden="1"/>
    <col min="56" max="61" width="3.5" style="31" hidden="1"/>
    <col min="62" max="67" width="3.625" style="31" hidden="1"/>
    <col min="68" max="78" width="4.625" style="31" hidden="1"/>
    <col min="79" max="79" width="4.375" style="31" hidden="1"/>
    <col min="80" max="82" width="4.625" style="31" hidden="1"/>
    <col min="83" max="95" width="3.625" style="31" hidden="1"/>
    <col min="96" max="100" width="4.625" style="31" hidden="1"/>
    <col min="101" max="16383" width="9" style="31" hidden="1"/>
    <col min="16384" max="16384" width="5.25" style="31" hidden="1"/>
  </cols>
  <sheetData>
    <row r="1" spans="1:95" ht="6.75" customHeight="1" thickBot="1" x14ac:dyDescent="0.2">
      <c r="D1" s="253" t="s">
        <v>92</v>
      </c>
      <c r="E1" s="253"/>
      <c r="F1" s="253"/>
      <c r="G1" s="253"/>
      <c r="H1" s="253"/>
      <c r="I1" s="253"/>
      <c r="J1" s="253"/>
      <c r="K1" s="253"/>
      <c r="L1" s="253"/>
      <c r="M1" s="253"/>
      <c r="N1" s="253"/>
      <c r="O1" s="253"/>
      <c r="P1" s="253"/>
      <c r="Q1" s="253"/>
      <c r="R1" s="253"/>
      <c r="S1" s="253"/>
      <c r="T1" s="253"/>
      <c r="U1" s="253"/>
      <c r="V1" s="253"/>
      <c r="W1" s="253"/>
      <c r="X1" s="253"/>
      <c r="Y1" s="253"/>
      <c r="Z1" s="253"/>
      <c r="AA1" s="253"/>
    </row>
    <row r="2" spans="1:95" ht="21" customHeight="1" thickBot="1" x14ac:dyDescent="0.2">
      <c r="D2" s="253"/>
      <c r="E2" s="253"/>
      <c r="F2" s="253"/>
      <c r="G2" s="253"/>
      <c r="H2" s="253"/>
      <c r="I2" s="253"/>
      <c r="J2" s="253"/>
      <c r="K2" s="253"/>
      <c r="L2" s="253"/>
      <c r="M2" s="253"/>
      <c r="N2" s="253"/>
      <c r="O2" s="253"/>
      <c r="P2" s="253"/>
      <c r="Q2" s="253"/>
      <c r="R2" s="253"/>
      <c r="S2" s="253"/>
      <c r="T2" s="253"/>
      <c r="U2" s="253"/>
      <c r="V2" s="253"/>
      <c r="W2" s="253"/>
      <c r="X2" s="253"/>
      <c r="Y2" s="253"/>
      <c r="Z2" s="253"/>
      <c r="AA2" s="253"/>
      <c r="AB2" s="25"/>
      <c r="AC2" s="26"/>
      <c r="AD2" s="27"/>
      <c r="AE2" s="28"/>
      <c r="AF2" s="102" t="s">
        <v>112</v>
      </c>
      <c r="AG2" s="29"/>
      <c r="AH2" s="29"/>
      <c r="AI2" s="29"/>
      <c r="AJ2" s="29"/>
      <c r="AK2" s="29"/>
      <c r="AL2" s="29"/>
      <c r="AM2" s="29"/>
      <c r="AN2" s="29"/>
      <c r="AO2" s="95"/>
      <c r="BH2" s="254"/>
      <c r="BI2" s="254"/>
      <c r="BJ2" s="254"/>
      <c r="BK2" s="254"/>
      <c r="BL2" s="254"/>
      <c r="BM2" s="254"/>
    </row>
    <row r="3" spans="1:95" ht="21" customHeight="1" x14ac:dyDescent="0.15">
      <c r="D3" s="184"/>
      <c r="E3" s="184"/>
      <c r="F3" s="184"/>
      <c r="G3" s="184"/>
      <c r="H3" s="184"/>
      <c r="I3" s="184"/>
      <c r="J3" s="184"/>
      <c r="K3" s="184"/>
      <c r="L3" s="184"/>
      <c r="M3" s="184"/>
      <c r="N3" s="184"/>
      <c r="O3" s="184"/>
      <c r="P3" s="184"/>
      <c r="Q3" s="184"/>
      <c r="R3" s="184"/>
      <c r="S3" s="184"/>
      <c r="T3" s="184"/>
      <c r="U3" s="184"/>
      <c r="V3" s="184"/>
      <c r="W3" s="184"/>
      <c r="X3" s="184"/>
      <c r="Y3" s="184"/>
      <c r="Z3" s="184"/>
      <c r="AA3" s="184"/>
      <c r="AB3" s="25"/>
      <c r="AC3" s="30"/>
      <c r="AD3" s="30"/>
      <c r="AE3" s="30"/>
      <c r="AF3" s="29"/>
      <c r="AG3" s="29"/>
      <c r="AH3" s="29"/>
      <c r="AI3" s="29"/>
      <c r="AJ3" s="29"/>
      <c r="AK3" s="29"/>
      <c r="AL3" s="29"/>
      <c r="AM3" s="29"/>
      <c r="AN3" s="29"/>
      <c r="AO3" s="95"/>
      <c r="BH3" s="183"/>
      <c r="BI3" s="183"/>
      <c r="BJ3" s="183"/>
      <c r="BK3" s="183"/>
      <c r="BL3" s="183"/>
      <c r="BM3" s="183"/>
    </row>
    <row r="4" spans="1:95" ht="21" customHeight="1" x14ac:dyDescent="0.15">
      <c r="C4" s="5" t="s">
        <v>76</v>
      </c>
      <c r="D4" s="184"/>
      <c r="E4" s="184"/>
      <c r="F4" s="184"/>
      <c r="G4" s="184"/>
      <c r="H4" s="184"/>
      <c r="I4" s="184"/>
      <c r="J4" s="184"/>
      <c r="K4" s="184"/>
      <c r="L4" s="184"/>
      <c r="M4" s="96"/>
      <c r="N4" s="96"/>
      <c r="O4" s="96"/>
      <c r="Q4" s="96"/>
      <c r="R4" s="184"/>
      <c r="S4" s="184"/>
      <c r="T4" s="184"/>
      <c r="U4" s="184"/>
      <c r="V4" s="184"/>
      <c r="W4" s="184"/>
      <c r="X4" s="184"/>
      <c r="Y4" s="184"/>
      <c r="Z4" s="184"/>
      <c r="AA4" s="184"/>
      <c r="AB4" s="25"/>
      <c r="AC4" s="30"/>
      <c r="AD4" s="30"/>
      <c r="AE4" s="30"/>
      <c r="AF4" s="29"/>
      <c r="AG4" s="29"/>
      <c r="AH4" s="29"/>
      <c r="AI4" s="29"/>
      <c r="AJ4" s="29"/>
      <c r="AK4" s="29"/>
      <c r="AL4" s="29"/>
      <c r="AM4" s="29"/>
      <c r="AN4" s="29"/>
      <c r="AO4" s="95"/>
      <c r="BH4" s="183"/>
      <c r="BI4" s="183"/>
      <c r="BJ4" s="183"/>
      <c r="BK4" s="183"/>
      <c r="BL4" s="183"/>
      <c r="BM4" s="183"/>
    </row>
    <row r="5" spans="1:95" ht="25.5" x14ac:dyDescent="0.15">
      <c r="BC5" s="31">
        <v>3</v>
      </c>
      <c r="BD5" s="135" t="str">
        <f>VLOOKUP($BC$5,$BR$40:$BS$49,2,FALSE)</f>
        <v>関東</v>
      </c>
    </row>
    <row r="6" spans="1:95" ht="23.25" customHeight="1" x14ac:dyDescent="0.15">
      <c r="D6" s="203" t="s">
        <v>0</v>
      </c>
      <c r="E6" s="33"/>
      <c r="G6" s="121"/>
      <c r="H6" s="121"/>
      <c r="I6" s="103"/>
      <c r="J6" s="103"/>
      <c r="K6" s="103"/>
      <c r="L6" s="103"/>
      <c r="M6" s="103"/>
      <c r="N6" s="103"/>
      <c r="O6" s="103"/>
      <c r="P6" s="103"/>
      <c r="Q6" s="103"/>
      <c r="R6" s="103"/>
      <c r="S6" s="103"/>
      <c r="T6" s="103"/>
      <c r="V6" s="10"/>
      <c r="W6" s="10"/>
      <c r="Y6" s="10"/>
      <c r="Z6" s="31"/>
      <c r="AA6" s="10"/>
      <c r="AC6" s="10"/>
      <c r="AD6" s="10"/>
      <c r="AE6" s="10"/>
      <c r="AF6" s="10"/>
      <c r="AG6" s="10"/>
      <c r="AH6" s="95" t="s">
        <v>90</v>
      </c>
      <c r="AI6" s="10"/>
      <c r="AJ6" s="10"/>
      <c r="AK6" s="10"/>
      <c r="AL6" s="10"/>
      <c r="AM6" s="10"/>
      <c r="AN6" s="10"/>
      <c r="AO6" s="10"/>
      <c r="AP6" s="10"/>
      <c r="AQ6" s="10"/>
      <c r="AR6" s="10"/>
      <c r="AS6" s="10"/>
      <c r="AT6" s="10"/>
      <c r="AU6" s="10"/>
      <c r="AV6" s="10"/>
      <c r="AW6" s="142"/>
      <c r="AX6" s="142"/>
      <c r="AY6" s="142"/>
      <c r="AZ6" s="142"/>
      <c r="BA6" s="142"/>
      <c r="BB6" s="142"/>
      <c r="BC6" s="69"/>
      <c r="BD6" s="69"/>
      <c r="BE6" s="69"/>
      <c r="BG6" s="180"/>
      <c r="BH6" s="180"/>
      <c r="BI6" s="180"/>
      <c r="BK6" s="180"/>
      <c r="BY6" s="255"/>
      <c r="BZ6" s="255"/>
      <c r="CA6" s="255"/>
      <c r="CK6" s="256" t="s">
        <v>54</v>
      </c>
      <c r="CL6" s="256"/>
      <c r="CM6" s="256"/>
      <c r="CN6" s="257">
        <v>8.3333333333333329E-2</v>
      </c>
      <c r="CO6" s="257"/>
      <c r="CP6" s="257"/>
      <c r="CQ6" s="97"/>
    </row>
    <row r="7" spans="1:95" s="5" customFormat="1" ht="18.75" customHeight="1" x14ac:dyDescent="0.15">
      <c r="O7" s="5" t="s">
        <v>139</v>
      </c>
      <c r="R7" s="103"/>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8"/>
      <c r="AW7" s="142"/>
      <c r="AX7" s="142"/>
      <c r="AY7" s="142"/>
      <c r="AZ7" s="142"/>
      <c r="BA7" s="142"/>
      <c r="BB7" s="142"/>
      <c r="BC7" s="142"/>
      <c r="BD7" s="142"/>
      <c r="BE7" s="142"/>
      <c r="BF7" s="24"/>
      <c r="BG7" s="24"/>
      <c r="BH7" s="24"/>
      <c r="BI7" s="24"/>
      <c r="BJ7" s="24"/>
    </row>
    <row r="8" spans="1:95" s="5" customFormat="1" ht="18.75" customHeight="1" x14ac:dyDescent="0.15">
      <c r="O8" s="5" t="s">
        <v>138</v>
      </c>
      <c r="R8" s="103"/>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8"/>
      <c r="AW8" s="142"/>
      <c r="AX8" s="142"/>
      <c r="AY8" s="142"/>
      <c r="AZ8" s="142"/>
      <c r="BA8" s="142"/>
      <c r="BB8" s="142"/>
      <c r="BC8" s="142"/>
      <c r="BD8" s="142"/>
      <c r="BE8" s="142"/>
      <c r="BF8" s="24"/>
      <c r="BG8" s="24"/>
      <c r="BH8" s="24"/>
      <c r="BI8" s="24"/>
      <c r="BJ8" s="24"/>
    </row>
    <row r="9" spans="1:95" ht="9" customHeight="1" x14ac:dyDescent="0.15">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42"/>
      <c r="AX9" s="142"/>
      <c r="AY9" s="142"/>
      <c r="AZ9" s="142"/>
      <c r="BA9" s="142"/>
      <c r="BB9" s="142"/>
      <c r="BC9" s="69"/>
      <c r="BD9" s="69"/>
      <c r="BE9" s="69"/>
    </row>
    <row r="10" spans="1:95" ht="15.75" customHeight="1" x14ac:dyDescent="0.15">
      <c r="B10" s="258" t="s">
        <v>31</v>
      </c>
      <c r="C10" s="258"/>
      <c r="D10" s="258"/>
      <c r="E10" s="35"/>
      <c r="F10" s="35"/>
      <c r="M10" s="70"/>
      <c r="O10" s="217"/>
      <c r="P10" s="217"/>
      <c r="Q10" s="217"/>
      <c r="R10" s="59"/>
      <c r="S10" s="217" t="s">
        <v>7</v>
      </c>
      <c r="T10" s="217"/>
      <c r="U10" s="217"/>
      <c r="V10" s="8"/>
      <c r="W10" s="8"/>
      <c r="X10" s="8"/>
      <c r="Y10" s="8"/>
      <c r="Z10" s="8"/>
      <c r="AA10" s="8"/>
      <c r="AB10" s="8"/>
      <c r="AC10" s="8"/>
      <c r="AD10" s="8"/>
      <c r="AE10" s="8"/>
      <c r="AF10" s="8"/>
      <c r="AG10" s="8"/>
      <c r="AH10" s="8"/>
      <c r="AJ10" s="8"/>
      <c r="AK10" s="8"/>
      <c r="AL10" s="8"/>
      <c r="AR10" s="8"/>
      <c r="AS10" s="8"/>
      <c r="AT10" s="8"/>
      <c r="AU10" s="8"/>
      <c r="AV10" s="8"/>
      <c r="AW10" s="31"/>
      <c r="AX10" s="31"/>
      <c r="AY10" s="31"/>
      <c r="AZ10" s="31"/>
      <c r="BA10" s="31"/>
      <c r="BB10" s="31"/>
    </row>
    <row r="11" spans="1:95" ht="19.5" customHeight="1" x14ac:dyDescent="0.15">
      <c r="B11" s="258"/>
      <c r="C11" s="258"/>
      <c r="D11" s="258"/>
      <c r="E11" s="35"/>
      <c r="F11" s="35"/>
      <c r="G11" s="5" t="s">
        <v>19</v>
      </c>
      <c r="I11" s="107"/>
      <c r="J11" s="212" t="s">
        <v>12</v>
      </c>
      <c r="K11" s="212"/>
      <c r="L11" s="210"/>
      <c r="M11" s="71"/>
      <c r="N11" s="259">
        <f ca="1">VLOOKUP($BC$12,INDIRECT(BD5),3)</f>
        <v>0</v>
      </c>
      <c r="O11" s="259"/>
      <c r="P11" s="259"/>
      <c r="Q11" s="259"/>
      <c r="R11" s="107" t="s">
        <v>127</v>
      </c>
      <c r="S11" s="260">
        <f ca="1">VLOOKUP($BC$12,INDIRECT(BD5),4)</f>
        <v>6580</v>
      </c>
      <c r="T11" s="260"/>
      <c r="U11" s="260"/>
      <c r="V11" s="260"/>
      <c r="W11" s="6"/>
      <c r="X11" s="6"/>
      <c r="Y11" s="6"/>
      <c r="Z11" s="6"/>
      <c r="AA11" s="6"/>
      <c r="AC11" s="6"/>
      <c r="AD11" s="6"/>
      <c r="AE11" s="6"/>
      <c r="AF11" s="6"/>
      <c r="AG11" s="6"/>
      <c r="AH11" s="6"/>
      <c r="AK11" s="11"/>
      <c r="AL11" s="11"/>
      <c r="AR11" s="8"/>
      <c r="AS11" s="8"/>
      <c r="AT11" s="8"/>
      <c r="AU11" s="8"/>
      <c r="AV11" s="8"/>
      <c r="AW11" s="31"/>
      <c r="AX11" s="31"/>
      <c r="AY11" s="31"/>
      <c r="AZ11" s="31"/>
      <c r="BA11" s="31"/>
      <c r="BB11" s="31"/>
      <c r="CC11" s="257">
        <v>1</v>
      </c>
      <c r="CD11" s="257"/>
      <c r="CE11" s="257"/>
    </row>
    <row r="12" spans="1:95" ht="27" customHeight="1" thickBot="1" x14ac:dyDescent="0.2">
      <c r="A12" s="8"/>
      <c r="B12" s="8"/>
      <c r="C12" s="8"/>
      <c r="F12" s="268" t="s">
        <v>50</v>
      </c>
      <c r="G12" s="212"/>
      <c r="H12" s="212"/>
      <c r="I12" s="212"/>
      <c r="J12" s="212"/>
      <c r="K12" s="38"/>
      <c r="L12" s="38"/>
      <c r="M12" s="212" t="s">
        <v>44</v>
      </c>
      <c r="N12" s="212"/>
      <c r="O12" s="212"/>
      <c r="P12" s="269" t="s">
        <v>55</v>
      </c>
      <c r="Q12" s="269"/>
      <c r="R12" s="269"/>
      <c r="S12" s="269"/>
      <c r="T12" s="269"/>
      <c r="U12" s="226" t="s">
        <v>57</v>
      </c>
      <c r="V12" s="226"/>
      <c r="W12" s="226"/>
      <c r="X12" s="38"/>
      <c r="Y12" s="38"/>
      <c r="AA12" s="268" t="s">
        <v>51</v>
      </c>
      <c r="AB12" s="212"/>
      <c r="AC12" s="212"/>
      <c r="AD12" s="212"/>
      <c r="AE12" s="212"/>
      <c r="AF12" s="212" t="s">
        <v>49</v>
      </c>
      <c r="AG12" s="212"/>
      <c r="AH12" s="212"/>
      <c r="AI12" s="212"/>
      <c r="AJ12" s="212"/>
      <c r="AL12" s="13" t="s">
        <v>37</v>
      </c>
      <c r="AT12" s="39"/>
      <c r="AU12" s="73"/>
      <c r="BC12" s="31">
        <v>1</v>
      </c>
      <c r="BP12" s="256" t="s">
        <v>49</v>
      </c>
      <c r="BQ12" s="256"/>
      <c r="BR12" s="256"/>
      <c r="BS12" s="256"/>
      <c r="BT12" s="256"/>
      <c r="BU12" s="256"/>
      <c r="BV12" s="256"/>
      <c r="BW12" s="256"/>
      <c r="BY12" s="256" t="s">
        <v>53</v>
      </c>
      <c r="BZ12" s="256"/>
      <c r="CA12" s="256"/>
      <c r="CC12" s="31" t="s">
        <v>52</v>
      </c>
      <c r="CF12" s="256" t="s">
        <v>44</v>
      </c>
      <c r="CG12" s="256"/>
      <c r="CH12" s="256"/>
      <c r="CJ12" s="256" t="s">
        <v>45</v>
      </c>
      <c r="CK12" s="256"/>
      <c r="CL12" s="256"/>
    </row>
    <row r="13" spans="1:95" ht="18.75" customHeight="1" thickBot="1" x14ac:dyDescent="0.2">
      <c r="A13" s="261">
        <v>0</v>
      </c>
      <c r="B13" s="261"/>
      <c r="C13" s="261"/>
      <c r="D13" s="7" t="s">
        <v>27</v>
      </c>
      <c r="E13" s="74"/>
      <c r="G13" s="262">
        <f>IF(AND($L13="",$O13=""),"",IF($L13=0,TIME(23,$O13,0),TIME($L13-1,$O13,0)))</f>
        <v>0.375</v>
      </c>
      <c r="H13" s="262"/>
      <c r="I13" s="262"/>
      <c r="J13" s="212" t="s">
        <v>39</v>
      </c>
      <c r="K13" s="212"/>
      <c r="L13" s="263">
        <v>10</v>
      </c>
      <c r="M13" s="264"/>
      <c r="N13" s="5" t="s">
        <v>46</v>
      </c>
      <c r="O13" s="265">
        <v>0</v>
      </c>
      <c r="P13" s="266"/>
      <c r="Q13" s="38" t="s">
        <v>21</v>
      </c>
      <c r="R13" s="212" t="s">
        <v>39</v>
      </c>
      <c r="S13" s="212"/>
      <c r="T13" s="263">
        <v>23</v>
      </c>
      <c r="U13" s="264"/>
      <c r="V13" s="5" t="s">
        <v>46</v>
      </c>
      <c r="W13" s="265">
        <v>0</v>
      </c>
      <c r="X13" s="266"/>
      <c r="Y13" s="38" t="s">
        <v>21</v>
      </c>
      <c r="Z13" s="212" t="s">
        <v>39</v>
      </c>
      <c r="AA13" s="212"/>
      <c r="AB13" s="262">
        <f>IF(AND($T13="",$W13=""),"",TIME(T13+1,W13,0))</f>
        <v>0</v>
      </c>
      <c r="AC13" s="262"/>
      <c r="AD13" s="262"/>
      <c r="AE13" s="179"/>
      <c r="AF13" s="277">
        <f>IF(OR($G13="",$AB13=""),0,IF(OR($BP13&gt;20,AND($BP13=20,$BR13&gt;0)),"20時間を",IF($BR13=0,IF($BP13=0,0,IF($BP13&gt;5,$BP13,5)),IF($BP13&lt;5,5,$BP13))))</f>
        <v>15</v>
      </c>
      <c r="AG13" s="277"/>
      <c r="AH13" s="277"/>
      <c r="AI13" s="278">
        <f>IF(OR($G13="",AB13=""),0,IF($AF13="20時間を","超えています",IF($BP13&lt;5,0,$BR13)))</f>
        <v>0</v>
      </c>
      <c r="AJ13" s="278"/>
      <c r="AK13" s="278"/>
      <c r="AL13" s="278"/>
      <c r="AM13" s="75" t="s">
        <v>47</v>
      </c>
      <c r="AN13" s="279">
        <f>IF(AF13="20時間を",0,IF(OR($G13="",$AB13=""),0,HOUR($CC13)))</f>
        <v>2</v>
      </c>
      <c r="AO13" s="279"/>
      <c r="AP13" s="279"/>
      <c r="AQ13" s="280">
        <f>IF(AF13="20時間を",0,IF(OR($G13="",AB13=""),0,MINUTE($CC13)))</f>
        <v>0</v>
      </c>
      <c r="AR13" s="280"/>
      <c r="AS13" s="38" t="s">
        <v>48</v>
      </c>
      <c r="AT13" s="76"/>
      <c r="AU13" s="76"/>
      <c r="AV13" s="38"/>
      <c r="BP13" s="275">
        <f>IF(CJ13=CF13,26,HOUR(BY13)+2)</f>
        <v>15</v>
      </c>
      <c r="BQ13" s="275"/>
      <c r="BR13" s="276">
        <f>MINUTE(BU13)</f>
        <v>0</v>
      </c>
      <c r="BS13" s="276"/>
      <c r="BT13" s="177" t="s">
        <v>30</v>
      </c>
      <c r="BU13" s="257">
        <f>+BY13+$CN$6</f>
        <v>0.62500000000000011</v>
      </c>
      <c r="BV13" s="257"/>
      <c r="BW13" s="257"/>
      <c r="BX13" s="177"/>
      <c r="BY13" s="257">
        <f>CN13-CF13</f>
        <v>0.54166666666666674</v>
      </c>
      <c r="BZ13" s="257"/>
      <c r="CA13" s="257"/>
      <c r="CC13" s="267">
        <f>BU13-(IF($AB13&gt;$G13,IF($G13&lt;$A$17,IF($AB13&lt;=$A$17,0,IF($AB13&lt;$A$16,$AB13-$A$17,$A$16-$A$17)),IF($G13&lt;$A$16,IF($AB13&lt;$A$16,$AB13-$G13,$A$16-$G13),0)),IF($G13&gt;=$A$16,IF($AB13&lt;$A$17,0,IF($AB13&lt;$A$16,$AB13-$A$17,$A$16-$A$17)),IF($G13&gt;$A$17,IF($AB13&lt;$A$17,$A$16-$G13,($A$16-$G13)+($AB13-$A$17)),$A$16-$A$17))))</f>
        <v>8.3333333333333481E-2</v>
      </c>
      <c r="CD13" s="267"/>
      <c r="CF13" s="267">
        <f>IF(AND(L13="",O13=""),"",TIME($L13,$O13,0))</f>
        <v>0.41666666666666669</v>
      </c>
      <c r="CG13" s="267"/>
      <c r="CH13" s="267"/>
      <c r="CJ13" s="267">
        <f>IF(AND(T13="",W13=""),"",TIME($T13,$W13,0))</f>
        <v>0.95833333333333337</v>
      </c>
      <c r="CK13" s="267"/>
      <c r="CL13" s="267"/>
      <c r="CN13" s="257">
        <f>IF(CF13&gt;=CJ13,CJ13+$CC$11,CJ13)</f>
        <v>0.95833333333333337</v>
      </c>
      <c r="CO13" s="257"/>
      <c r="CP13" s="257"/>
    </row>
    <row r="14" spans="1:95" ht="15" customHeight="1" thickBot="1" x14ac:dyDescent="0.2">
      <c r="A14" s="261">
        <v>4.1666666666666664E-2</v>
      </c>
      <c r="B14" s="261"/>
      <c r="C14" s="261"/>
      <c r="D14" s="77"/>
      <c r="E14" s="74"/>
      <c r="W14" s="270" t="str">
        <f>IF(OR($G13="",$AB13=""),"",IF($BP13&gt;=5,"",IF($BP13*60+$BR13&gt;0,"運転時間は最低３時間のため始業点呼・就業点呼の＋２時間で５時間となります","")))</f>
        <v/>
      </c>
      <c r="X14" s="270"/>
      <c r="Y14" s="270"/>
      <c r="Z14" s="270"/>
      <c r="AA14" s="270"/>
      <c r="AB14" s="270"/>
      <c r="AC14" s="270"/>
      <c r="AD14" s="270"/>
      <c r="AE14" s="270"/>
      <c r="AF14" s="270"/>
      <c r="AG14" s="270"/>
      <c r="AH14" s="270"/>
      <c r="AI14" s="270"/>
      <c r="AJ14" s="270"/>
      <c r="AK14" s="270"/>
      <c r="AL14" s="270"/>
      <c r="AM14" s="270"/>
      <c r="AN14" s="270"/>
      <c r="AP14" s="78"/>
      <c r="AQ14" s="79"/>
      <c r="AR14" s="79"/>
      <c r="BP14" s="98"/>
      <c r="BQ14" s="98"/>
      <c r="BR14" s="99"/>
      <c r="BS14" s="99"/>
      <c r="BT14" s="99"/>
      <c r="BU14" s="99"/>
      <c r="BV14" s="99"/>
      <c r="BW14" s="99"/>
      <c r="BX14" s="99"/>
      <c r="BY14" s="99"/>
      <c r="BZ14" s="99"/>
      <c r="CA14" s="99"/>
      <c r="CC14" s="100"/>
      <c r="CD14" s="100"/>
    </row>
    <row r="15" spans="1:95" ht="18.75" customHeight="1" thickBot="1" x14ac:dyDescent="0.2">
      <c r="A15" s="9"/>
      <c r="B15" s="9"/>
      <c r="C15" s="9"/>
      <c r="D15" s="7" t="s">
        <v>26</v>
      </c>
      <c r="E15" s="74"/>
      <c r="G15" s="262">
        <f>IF(AND($L15="",$O15=""),"",IF($L15=0,TIME(23,$O15,0),TIME($L15-1,$O15,0)))</f>
        <v>0.375</v>
      </c>
      <c r="H15" s="262"/>
      <c r="I15" s="262"/>
      <c r="J15" s="212" t="s">
        <v>39</v>
      </c>
      <c r="K15" s="212"/>
      <c r="L15" s="271">
        <v>10</v>
      </c>
      <c r="M15" s="272"/>
      <c r="N15" s="5" t="s">
        <v>46</v>
      </c>
      <c r="O15" s="265">
        <v>0</v>
      </c>
      <c r="P15" s="266"/>
      <c r="Q15" s="38" t="s">
        <v>21</v>
      </c>
      <c r="R15" s="212" t="s">
        <v>39</v>
      </c>
      <c r="S15" s="212"/>
      <c r="T15" s="273">
        <v>15</v>
      </c>
      <c r="U15" s="274"/>
      <c r="V15" s="5" t="s">
        <v>46</v>
      </c>
      <c r="W15" s="265">
        <v>0</v>
      </c>
      <c r="X15" s="266"/>
      <c r="Y15" s="38" t="s">
        <v>21</v>
      </c>
      <c r="Z15" s="212" t="s">
        <v>39</v>
      </c>
      <c r="AA15" s="212"/>
      <c r="AB15" s="262">
        <f>IF(AND($T15="",$W15=""),"",TIME(T15+1,W15,0))</f>
        <v>0.66666666666666663</v>
      </c>
      <c r="AC15" s="262"/>
      <c r="AD15" s="262"/>
      <c r="AE15" s="179"/>
      <c r="AF15" s="277">
        <f>IF(OR($G15="",$AB15=""),0,IF(OR($BP15&gt;20,AND($BP15=20,$BR15&gt;0)),"20時間を",IF($BR15=0,IF($BP15=0,0,IF($BP15&gt;5,$BP15,5)),IF($BP15&lt;5,5,$BP15))))</f>
        <v>7</v>
      </c>
      <c r="AG15" s="277"/>
      <c r="AH15" s="277"/>
      <c r="AI15" s="278">
        <f>IF(OR($G15="",AB15=""),0,IF($AF15="20時間を","超えています",IF($BP15&lt;5,0,$BR15)))</f>
        <v>0</v>
      </c>
      <c r="AJ15" s="278"/>
      <c r="AK15" s="278"/>
      <c r="AL15" s="278"/>
      <c r="AM15" s="75" t="s">
        <v>47</v>
      </c>
      <c r="AN15" s="279">
        <f>IF(AF15="20時間を",0,IF(OR($G15="",$AB15=""),0,HOUR($CC15)))</f>
        <v>0</v>
      </c>
      <c r="AO15" s="279"/>
      <c r="AP15" s="279"/>
      <c r="AQ15" s="280">
        <f>IF(AF15="20時間を",0,IF(OR($G15="",AB15=""),0,MINUTE($CC15)))</f>
        <v>0</v>
      </c>
      <c r="AR15" s="280"/>
      <c r="AS15" s="38" t="s">
        <v>48</v>
      </c>
      <c r="AT15" s="76"/>
      <c r="AU15" s="76"/>
      <c r="AV15" s="38"/>
      <c r="BP15" s="275">
        <f>IF(CJ15=CF15,26,HOUR(BY15)+2)</f>
        <v>7</v>
      </c>
      <c r="BQ15" s="275"/>
      <c r="BR15" s="276">
        <f>MINUTE(BU15)</f>
        <v>0</v>
      </c>
      <c r="BS15" s="276"/>
      <c r="BT15" s="177" t="s">
        <v>30</v>
      </c>
      <c r="BU15" s="257">
        <f>+BY15+$CN$6</f>
        <v>0.29166666666666663</v>
      </c>
      <c r="BV15" s="257"/>
      <c r="BW15" s="257"/>
      <c r="BX15" s="177"/>
      <c r="BY15" s="257">
        <f>CN15-CF15</f>
        <v>0.20833333333333331</v>
      </c>
      <c r="BZ15" s="257"/>
      <c r="CA15" s="257"/>
      <c r="CC15" s="267">
        <f>BU15-(IF($AB15&gt;$G15,IF($G15&lt;$A$17,IF($AB15&lt;=$A$17,0,IF($AB15&lt;$A$16,$AB15-$A$17,$A$16-$A$17)),IF($G15&lt;$A$16,IF($AB15&lt;$A$16,$AB15-$G15,$A$16-$G15),0)),IF($G15&gt;=$A$16,IF($AB15&lt;$A$17,0,IF($AB15&lt;$A$16,$AB15-$A$17,$A$16-$A$17)),IF($G15&gt;$A$17,IF($AB15&lt;$A$17,$A$16-$G15,($A$16-$G15)+($AB15-$A$17)),$A$16-$A$17))))</f>
        <v>0</v>
      </c>
      <c r="CD15" s="267"/>
      <c r="CF15" s="267">
        <f>IF(AND(L15="",O15=""),"",TIME($L15,$O15,0))</f>
        <v>0.41666666666666669</v>
      </c>
      <c r="CG15" s="267"/>
      <c r="CH15" s="267"/>
      <c r="CJ15" s="267">
        <f>IF(AND(T15="",W15=""),"",TIME($T15,$W15,0))</f>
        <v>0.625</v>
      </c>
      <c r="CK15" s="267"/>
      <c r="CL15" s="267"/>
      <c r="CN15" s="257">
        <f>IF(CF15&gt;=CJ15,CJ15+$CC$11,CJ15)</f>
        <v>0.625</v>
      </c>
      <c r="CO15" s="257"/>
      <c r="CP15" s="257"/>
    </row>
    <row r="16" spans="1:95" ht="15" customHeight="1" thickBot="1" x14ac:dyDescent="0.2">
      <c r="A16" s="261">
        <v>0.91666666666666663</v>
      </c>
      <c r="B16" s="261"/>
      <c r="C16" s="261"/>
      <c r="D16" s="77"/>
      <c r="E16" s="74"/>
      <c r="W16" s="270" t="str">
        <f>IF(OR($G15="",$AB15=""),"",IF($BP15&gt;=5,"",IF($BP15*60+$BR15&gt;0,"運転時間は最低３時間のため始業点呼・就業点呼の＋２時間で５時間となります","")))</f>
        <v/>
      </c>
      <c r="X16" s="270"/>
      <c r="Y16" s="270"/>
      <c r="Z16" s="270"/>
      <c r="AA16" s="270"/>
      <c r="AB16" s="270"/>
      <c r="AC16" s="270"/>
      <c r="AD16" s="270"/>
      <c r="AE16" s="270"/>
      <c r="AF16" s="270"/>
      <c r="AG16" s="270"/>
      <c r="AH16" s="270"/>
      <c r="AI16" s="270"/>
      <c r="AJ16" s="270"/>
      <c r="AK16" s="270"/>
      <c r="AL16" s="270"/>
      <c r="AM16" s="270"/>
      <c r="AN16" s="270"/>
      <c r="AP16" s="78"/>
      <c r="AQ16" s="79"/>
      <c r="AR16" s="79"/>
      <c r="BP16" s="98"/>
      <c r="BQ16" s="98"/>
      <c r="BR16" s="99"/>
      <c r="BS16" s="99"/>
      <c r="BT16" s="99"/>
      <c r="BU16" s="99"/>
      <c r="BV16" s="99"/>
      <c r="BW16" s="99"/>
      <c r="BX16" s="99"/>
      <c r="BY16" s="99"/>
      <c r="BZ16" s="99"/>
      <c r="CA16" s="99"/>
      <c r="CC16" s="100"/>
      <c r="CD16" s="100"/>
    </row>
    <row r="17" spans="1:94" ht="18.75" customHeight="1" thickBot="1" x14ac:dyDescent="0.2">
      <c r="A17" s="261">
        <v>0.20833333333333334</v>
      </c>
      <c r="B17" s="261"/>
      <c r="C17" s="261"/>
      <c r="D17" s="7" t="s">
        <v>28</v>
      </c>
      <c r="E17" s="74"/>
      <c r="G17" s="262" t="str">
        <f>IF(AND($L17="",$O17=""),"",IF($L17=0,TIME(23,$O17,0),TIME($L17-1,$O17,0)))</f>
        <v/>
      </c>
      <c r="H17" s="262"/>
      <c r="I17" s="262"/>
      <c r="J17" s="212" t="s">
        <v>39</v>
      </c>
      <c r="K17" s="212"/>
      <c r="L17" s="273"/>
      <c r="M17" s="274"/>
      <c r="N17" s="5" t="s">
        <v>46</v>
      </c>
      <c r="O17" s="265"/>
      <c r="P17" s="266"/>
      <c r="Q17" s="38" t="s">
        <v>21</v>
      </c>
      <c r="R17" s="212" t="s">
        <v>39</v>
      </c>
      <c r="S17" s="212"/>
      <c r="T17" s="273"/>
      <c r="U17" s="274"/>
      <c r="V17" s="5" t="s">
        <v>46</v>
      </c>
      <c r="W17" s="265"/>
      <c r="X17" s="266"/>
      <c r="Y17" s="38" t="s">
        <v>21</v>
      </c>
      <c r="Z17" s="212" t="s">
        <v>39</v>
      </c>
      <c r="AA17" s="212"/>
      <c r="AB17" s="262" t="str">
        <f>IF(AND($T17="",$W17=""),"",TIME(T17+1,W17,0))</f>
        <v/>
      </c>
      <c r="AC17" s="262"/>
      <c r="AD17" s="262"/>
      <c r="AE17" s="179"/>
      <c r="AF17" s="277">
        <f>IF(OR($G17="",$AB17=""),0,IF(OR($BP17&gt;20,AND($BP17=20,$BR17&gt;0)),"20時間を",IF($BR17=0,IF($BP17=0,0,IF($BP17&gt;5,$BP17,5)),IF($BP17&lt;5,5,$BP17))))</f>
        <v>0</v>
      </c>
      <c r="AG17" s="277"/>
      <c r="AH17" s="277"/>
      <c r="AI17" s="278">
        <f>IF(OR($G17="",AB17=""),0,IF($AF17="20時間を","超えています",IF($BP17&lt;5,0,$BR17)))</f>
        <v>0</v>
      </c>
      <c r="AJ17" s="278"/>
      <c r="AK17" s="278"/>
      <c r="AL17" s="278"/>
      <c r="AM17" s="75" t="s">
        <v>47</v>
      </c>
      <c r="AN17" s="279">
        <f>IF(AF17="20時間を",0,IF(OR($G17="",$AB17=""),0,HOUR($CC17)))</f>
        <v>0</v>
      </c>
      <c r="AO17" s="279"/>
      <c r="AP17" s="279"/>
      <c r="AQ17" s="280">
        <f>IF(AF17="20時間を",0,IF(OR($G17="",AB17=""),0,MINUTE($CC17)))</f>
        <v>0</v>
      </c>
      <c r="AR17" s="280"/>
      <c r="AS17" s="38" t="s">
        <v>48</v>
      </c>
      <c r="AT17" s="76"/>
      <c r="AU17" s="76"/>
      <c r="AV17" s="38"/>
      <c r="BP17" s="275">
        <f>IF(CJ17=CF17,26,HOUR(BY17)+2)</f>
        <v>26</v>
      </c>
      <c r="BQ17" s="275"/>
      <c r="BR17" s="276" t="e">
        <f>MINUTE(BU17)</f>
        <v>#VALUE!</v>
      </c>
      <c r="BS17" s="276"/>
      <c r="BT17" s="177" t="s">
        <v>30</v>
      </c>
      <c r="BU17" s="257" t="e">
        <f>+BY17+$CN$6</f>
        <v>#VALUE!</v>
      </c>
      <c r="BV17" s="257"/>
      <c r="BW17" s="257"/>
      <c r="BX17" s="177"/>
      <c r="BY17" s="257" t="e">
        <f>CN17-CF17</f>
        <v>#VALUE!</v>
      </c>
      <c r="BZ17" s="257"/>
      <c r="CA17" s="257"/>
      <c r="CC17" s="267" t="e">
        <f>BU17-(IF($AB17&gt;$G17,IF($G17&lt;$A$17,IF($AB17&lt;=$A$17,0,IF($AB17&lt;$A$16,$AB17-$A$17,$A$16-$A$17)),IF($G17&lt;$A$16,IF($AB17&lt;$A$16,$AB17-$G17,$A$16-$G17),0)),IF($G17&gt;=$A$16,IF($AB17&lt;$A$17,0,IF($AB17&lt;$A$16,$AB17-$A$17,$A$16-$A$17)),IF($G17&gt;$A$17,IF($AB17&lt;$A$17,$A$16-$G17,($A$16-$G17)+($AB17-$A$17)),$A$16-$A$17))))</f>
        <v>#VALUE!</v>
      </c>
      <c r="CD17" s="267"/>
      <c r="CF17" s="267" t="str">
        <f>IF(AND(L17="",O17=""),"",TIME($L17,$O17,0))</f>
        <v/>
      </c>
      <c r="CG17" s="267"/>
      <c r="CH17" s="267"/>
      <c r="CJ17" s="267" t="str">
        <f>IF(AND(T17="",W17=""),"",TIME($T17,$W17,0))</f>
        <v/>
      </c>
      <c r="CK17" s="267"/>
      <c r="CL17" s="267"/>
      <c r="CN17" s="257" t="e">
        <f>IF(CF17&gt;=CJ17,CJ17+$CC$11,CJ17)</f>
        <v>#VALUE!</v>
      </c>
      <c r="CO17" s="257"/>
      <c r="CP17" s="257"/>
    </row>
    <row r="18" spans="1:94" ht="12.75" customHeight="1" thickBot="1" x14ac:dyDescent="0.2">
      <c r="A18" s="8"/>
      <c r="B18" s="8"/>
      <c r="C18" s="8"/>
      <c r="W18" s="270" t="str">
        <f>IF(OR($G17="",$AB17=""),"",IF($BP17&gt;=5,"",IF($BP17*60+$BR17&gt;0,"運転時間は最低３時間のため始業点呼・就業点呼の＋２時間で５時間となります","")))</f>
        <v/>
      </c>
      <c r="X18" s="270"/>
      <c r="Y18" s="270"/>
      <c r="Z18" s="270"/>
      <c r="AA18" s="270"/>
      <c r="AB18" s="270"/>
      <c r="AC18" s="270"/>
      <c r="AD18" s="270"/>
      <c r="AE18" s="270"/>
      <c r="AF18" s="270"/>
      <c r="AG18" s="270"/>
      <c r="AH18" s="270"/>
      <c r="AI18" s="270"/>
      <c r="AJ18" s="270"/>
      <c r="AK18" s="270"/>
      <c r="AL18" s="270"/>
      <c r="AM18" s="270"/>
      <c r="AN18" s="270"/>
    </row>
    <row r="19" spans="1:94" ht="18.75" customHeight="1" thickBot="1" x14ac:dyDescent="0.2">
      <c r="A19" s="261">
        <v>0.20833333333333334</v>
      </c>
      <c r="B19" s="261"/>
      <c r="C19" s="261"/>
      <c r="D19" s="7" t="s">
        <v>113</v>
      </c>
      <c r="E19" s="74"/>
      <c r="G19" s="262" t="str">
        <f>IF(AND($L19="",$O19=""),"",IF($L19=0,TIME(23,$O19,0),TIME($L19-1,$O19,0)))</f>
        <v/>
      </c>
      <c r="H19" s="262"/>
      <c r="I19" s="262"/>
      <c r="J19" s="212" t="s">
        <v>39</v>
      </c>
      <c r="K19" s="212"/>
      <c r="L19" s="273"/>
      <c r="M19" s="274"/>
      <c r="N19" s="5" t="s">
        <v>46</v>
      </c>
      <c r="O19" s="265"/>
      <c r="P19" s="266"/>
      <c r="Q19" s="38" t="s">
        <v>21</v>
      </c>
      <c r="R19" s="212" t="s">
        <v>39</v>
      </c>
      <c r="S19" s="212"/>
      <c r="T19" s="273"/>
      <c r="U19" s="274"/>
      <c r="V19" s="5" t="s">
        <v>46</v>
      </c>
      <c r="W19" s="265"/>
      <c r="X19" s="266"/>
      <c r="Y19" s="38" t="s">
        <v>21</v>
      </c>
      <c r="Z19" s="212" t="s">
        <v>39</v>
      </c>
      <c r="AA19" s="212"/>
      <c r="AB19" s="262" t="str">
        <f>IF(AND($T19="",$W19=""),"",TIME(T19+1,W19,0))</f>
        <v/>
      </c>
      <c r="AC19" s="262"/>
      <c r="AD19" s="262"/>
      <c r="AE19" s="179"/>
      <c r="AF19" s="277">
        <f>IF(OR($G19="",$AB19=""),0,IF(OR($BP19&gt;20,AND($BP19=20,$BR19&gt;0)),"20時間を",IF($BR19=0,IF($BP19=0,0,IF($BP19&gt;5,$BP19,5)),IF($BP19&lt;5,5,$BP19))))</f>
        <v>0</v>
      </c>
      <c r="AG19" s="277"/>
      <c r="AH19" s="277"/>
      <c r="AI19" s="278">
        <f>IF(OR($G19="",AB19=""),0,IF($AF19="20時間を","超えています",IF($BP19&lt;5,0,$BR19)))</f>
        <v>0</v>
      </c>
      <c r="AJ19" s="278"/>
      <c r="AK19" s="278"/>
      <c r="AL19" s="278"/>
      <c r="AM19" s="75" t="s">
        <v>47</v>
      </c>
      <c r="AN19" s="279">
        <f>IF(AF19="20時間を",0,IF(OR($G19="",$AB19=""),0,HOUR($CC19)))</f>
        <v>0</v>
      </c>
      <c r="AO19" s="279"/>
      <c r="AP19" s="279"/>
      <c r="AQ19" s="280">
        <f>IF(AF19="20時間を",0,IF(OR($G19="",AB19=""),0,MINUTE($CC19)))</f>
        <v>0</v>
      </c>
      <c r="AR19" s="280"/>
      <c r="AS19" s="38" t="s">
        <v>48</v>
      </c>
      <c r="AT19" s="76"/>
      <c r="AU19" s="76"/>
      <c r="AV19" s="38"/>
      <c r="BP19" s="275">
        <f>IF(CJ19=CF19,26,HOUR(BY19)+2)</f>
        <v>26</v>
      </c>
      <c r="BQ19" s="275"/>
      <c r="BR19" s="276" t="e">
        <f>MINUTE(BU19)</f>
        <v>#VALUE!</v>
      </c>
      <c r="BS19" s="276"/>
      <c r="BT19" s="177" t="s">
        <v>30</v>
      </c>
      <c r="BU19" s="257" t="e">
        <f>+BY19+$CN$6</f>
        <v>#VALUE!</v>
      </c>
      <c r="BV19" s="257"/>
      <c r="BW19" s="257"/>
      <c r="BX19" s="177"/>
      <c r="BY19" s="257" t="e">
        <f>CN19-CF19</f>
        <v>#VALUE!</v>
      </c>
      <c r="BZ19" s="257"/>
      <c r="CA19" s="257"/>
      <c r="CC19" s="267" t="e">
        <f>BU19-(IF($AB19&gt;$G19,IF($G19&lt;$A$17,IF($AB19&lt;=$A$17,0,IF($AB19&lt;$A$16,$AB19-$A$17,$A$16-$A$17)),IF($G19&lt;$A$16,IF($AB19&lt;$A$16,$AB19-$G19,$A$16-$G19),0)),IF($G19&gt;=$A$16,IF($AB19&lt;$A$17,0,IF($AB19&lt;$A$16,$AB19-$A$17,$A$16-$A$17)),IF($G19&gt;$A$17,IF($AB19&lt;$A$17,$A$16-$G19,($A$16-$G19)+($AB19-$A$17)),$A$16-$A$17))))</f>
        <v>#VALUE!</v>
      </c>
      <c r="CD19" s="267"/>
      <c r="CF19" s="267" t="str">
        <f>IF(AND(L19="",O19=""),"",TIME($L19,$O19,0))</f>
        <v/>
      </c>
      <c r="CG19" s="267"/>
      <c r="CH19" s="267"/>
      <c r="CJ19" s="267" t="str">
        <f>IF(AND(T19="",W19=""),"",TIME($T19,$W19,0))</f>
        <v/>
      </c>
      <c r="CK19" s="267"/>
      <c r="CL19" s="267"/>
      <c r="CN19" s="257" t="e">
        <f>IF(CF19&gt;=CJ19,CJ19+$CC$11,CJ19)</f>
        <v>#VALUE!</v>
      </c>
      <c r="CO19" s="257"/>
      <c r="CP19" s="257"/>
    </row>
    <row r="20" spans="1:94" ht="12.75" customHeight="1" thickBot="1" x14ac:dyDescent="0.2">
      <c r="A20" s="8"/>
      <c r="B20" s="8"/>
      <c r="C20" s="8"/>
      <c r="W20" s="270" t="str">
        <f>IF(OR($G19="",$AB19=""),"",IF($BP19&gt;=5,"",IF($BP19*60+$BR19&gt;0,"運転時間は最低３時間のため始業点呼・就業点呼の＋２時間で５時間となります","")))</f>
        <v/>
      </c>
      <c r="X20" s="270"/>
      <c r="Y20" s="270"/>
      <c r="Z20" s="270"/>
      <c r="AA20" s="270"/>
      <c r="AB20" s="270"/>
      <c r="AC20" s="270"/>
      <c r="AD20" s="270"/>
      <c r="AE20" s="270"/>
      <c r="AF20" s="270"/>
      <c r="AG20" s="270"/>
      <c r="AH20" s="270"/>
      <c r="AI20" s="270"/>
      <c r="AJ20" s="270"/>
      <c r="AK20" s="270"/>
      <c r="AL20" s="270"/>
      <c r="AM20" s="270"/>
      <c r="AN20" s="270"/>
    </row>
    <row r="21" spans="1:94" ht="18.75" customHeight="1" thickBot="1" x14ac:dyDescent="0.2">
      <c r="A21" s="261">
        <v>0.20833333333333334</v>
      </c>
      <c r="B21" s="261"/>
      <c r="C21" s="261"/>
      <c r="D21" s="7" t="s">
        <v>114</v>
      </c>
      <c r="E21" s="74"/>
      <c r="G21" s="262" t="str">
        <f>IF(AND($L21="",$O21=""),"",IF($L21=0,TIME(23,$O21,0),TIME($L21-1,$O21,0)))</f>
        <v/>
      </c>
      <c r="H21" s="262"/>
      <c r="I21" s="262"/>
      <c r="J21" s="212" t="s">
        <v>39</v>
      </c>
      <c r="K21" s="212"/>
      <c r="L21" s="273"/>
      <c r="M21" s="274"/>
      <c r="N21" s="5" t="s">
        <v>46</v>
      </c>
      <c r="O21" s="265"/>
      <c r="P21" s="266"/>
      <c r="Q21" s="38" t="s">
        <v>21</v>
      </c>
      <c r="R21" s="212" t="s">
        <v>39</v>
      </c>
      <c r="S21" s="212"/>
      <c r="T21" s="273"/>
      <c r="U21" s="274"/>
      <c r="V21" s="5" t="s">
        <v>46</v>
      </c>
      <c r="W21" s="265"/>
      <c r="X21" s="266"/>
      <c r="Y21" s="38" t="s">
        <v>21</v>
      </c>
      <c r="Z21" s="212" t="s">
        <v>39</v>
      </c>
      <c r="AA21" s="212"/>
      <c r="AB21" s="262" t="str">
        <f>IF(AND($T21="",$W21=""),"",TIME(T21+1,W21,0))</f>
        <v/>
      </c>
      <c r="AC21" s="262"/>
      <c r="AD21" s="262"/>
      <c r="AE21" s="179"/>
      <c r="AF21" s="277">
        <f>IF(OR($G21="",$AB21=""),0,IF(OR($BP21&gt;20,AND($BP21=20,$BR21&gt;0)),"20時間を",IF($BR21=0,IF($BP21=0,0,IF($BP21&gt;5,$BP21,5)),IF($BP21&lt;5,5,$BP21))))</f>
        <v>0</v>
      </c>
      <c r="AG21" s="277"/>
      <c r="AH21" s="277"/>
      <c r="AI21" s="278">
        <f>IF(OR($G21="",AB21=""),0,IF($AF21="20時間を","超えています",IF($BP21&lt;5,0,$BR21)))</f>
        <v>0</v>
      </c>
      <c r="AJ21" s="278"/>
      <c r="AK21" s="278"/>
      <c r="AL21" s="278"/>
      <c r="AM21" s="75" t="s">
        <v>47</v>
      </c>
      <c r="AN21" s="279">
        <f>IF(AF21="20時間を",0,IF(OR($G21="",$AB21=""),0,HOUR($CC21)))</f>
        <v>0</v>
      </c>
      <c r="AO21" s="279"/>
      <c r="AP21" s="279"/>
      <c r="AQ21" s="280">
        <f>IF(AF21="20時間を",0,IF(OR($G21="",AB21=""),0,MINUTE($CC21)))</f>
        <v>0</v>
      </c>
      <c r="AR21" s="280"/>
      <c r="AS21" s="38" t="s">
        <v>48</v>
      </c>
      <c r="AT21" s="76"/>
      <c r="AU21" s="76"/>
      <c r="AV21" s="38"/>
      <c r="BP21" s="275">
        <f>IF(CJ21=CF21,26,HOUR(BY21)+2)</f>
        <v>26</v>
      </c>
      <c r="BQ21" s="275"/>
      <c r="BR21" s="276" t="e">
        <f>MINUTE(BU21)</f>
        <v>#VALUE!</v>
      </c>
      <c r="BS21" s="276"/>
      <c r="BT21" s="177" t="s">
        <v>30</v>
      </c>
      <c r="BU21" s="257" t="e">
        <f>+BY21+$CN$6</f>
        <v>#VALUE!</v>
      </c>
      <c r="BV21" s="257"/>
      <c r="BW21" s="257"/>
      <c r="BX21" s="177"/>
      <c r="BY21" s="257" t="e">
        <f>CN21-CF21</f>
        <v>#VALUE!</v>
      </c>
      <c r="BZ21" s="257"/>
      <c r="CA21" s="257"/>
      <c r="CC21" s="267" t="e">
        <f>BU21-(IF($AB21&gt;$G21,IF($G21&lt;$A$17,IF($AB21&lt;=$A$17,0,IF($AB21&lt;$A$16,$AB21-$A$17,$A$16-$A$17)),IF($G21&lt;$A$16,IF($AB21&lt;$A$16,$AB21-$G21,$A$16-$G21),0)),IF($G21&gt;=$A$16,IF($AB21&lt;$A$17,0,IF($AB21&lt;$A$16,$AB21-$A$17,$A$16-$A$17)),IF($G21&gt;$A$17,IF($AB21&lt;$A$17,$A$16-$G21,($A$16-$G21)+($AB21-$A$17)),$A$16-$A$17))))</f>
        <v>#VALUE!</v>
      </c>
      <c r="CD21" s="267"/>
      <c r="CF21" s="267" t="str">
        <f>IF(AND(L21="",O21=""),"",TIME($L21,$O21,0))</f>
        <v/>
      </c>
      <c r="CG21" s="267"/>
      <c r="CH21" s="267"/>
      <c r="CJ21" s="267" t="str">
        <f>IF(AND(T21="",W21=""),"",TIME($T21,$W21,0))</f>
        <v/>
      </c>
      <c r="CK21" s="267"/>
      <c r="CL21" s="267"/>
      <c r="CN21" s="257" t="e">
        <f>IF(CF21&gt;=CJ21,CJ21+$CC$11,CJ21)</f>
        <v>#VALUE!</v>
      </c>
      <c r="CO21" s="257"/>
      <c r="CP21" s="257"/>
    </row>
    <row r="22" spans="1:94" ht="12.75" customHeight="1" thickBot="1" x14ac:dyDescent="0.2">
      <c r="A22" s="8"/>
      <c r="B22" s="8"/>
      <c r="C22" s="8"/>
      <c r="W22" s="270" t="str">
        <f>IF(OR($G21="",$AB21=""),"",IF($BP21&gt;=5,"",IF($BP21*60+$BR21&gt;0,"運転時間は最低３時間のため始業点呼・就業点呼の＋２時間で５時間となります","")))</f>
        <v/>
      </c>
      <c r="X22" s="270"/>
      <c r="Y22" s="270"/>
      <c r="Z22" s="270"/>
      <c r="AA22" s="270"/>
      <c r="AB22" s="270"/>
      <c r="AC22" s="270"/>
      <c r="AD22" s="270"/>
      <c r="AE22" s="270"/>
      <c r="AF22" s="270"/>
      <c r="AG22" s="270"/>
      <c r="AH22" s="270"/>
      <c r="AI22" s="270"/>
      <c r="AJ22" s="270"/>
      <c r="AK22" s="270"/>
      <c r="AL22" s="270"/>
      <c r="AM22" s="270"/>
      <c r="AN22" s="270"/>
    </row>
    <row r="23" spans="1:94" ht="18.75" customHeight="1" thickBot="1" x14ac:dyDescent="0.2">
      <c r="A23" s="261">
        <v>0.20833333333333334</v>
      </c>
      <c r="B23" s="261"/>
      <c r="C23" s="261"/>
      <c r="D23" s="7" t="s">
        <v>115</v>
      </c>
      <c r="E23" s="74"/>
      <c r="G23" s="262" t="str">
        <f>IF(AND($L23="",$O23=""),"",IF($L23=0,TIME(23,$O23,0),TIME($L23-1,$O23,0)))</f>
        <v/>
      </c>
      <c r="H23" s="262"/>
      <c r="I23" s="262"/>
      <c r="J23" s="212" t="s">
        <v>39</v>
      </c>
      <c r="K23" s="212"/>
      <c r="L23" s="273"/>
      <c r="M23" s="274"/>
      <c r="N23" s="5" t="s">
        <v>46</v>
      </c>
      <c r="O23" s="265"/>
      <c r="P23" s="266"/>
      <c r="Q23" s="38" t="s">
        <v>21</v>
      </c>
      <c r="R23" s="212" t="s">
        <v>39</v>
      </c>
      <c r="S23" s="212"/>
      <c r="T23" s="273"/>
      <c r="U23" s="274"/>
      <c r="V23" s="5" t="s">
        <v>46</v>
      </c>
      <c r="W23" s="265"/>
      <c r="X23" s="266"/>
      <c r="Y23" s="38" t="s">
        <v>21</v>
      </c>
      <c r="Z23" s="212" t="s">
        <v>39</v>
      </c>
      <c r="AA23" s="212"/>
      <c r="AB23" s="262" t="str">
        <f>IF(AND($T23="",$W23=""),"",TIME(T23+1,W23,0))</f>
        <v/>
      </c>
      <c r="AC23" s="262"/>
      <c r="AD23" s="262"/>
      <c r="AE23" s="179"/>
      <c r="AF23" s="277">
        <f>IF(OR($G23="",$AB23=""),0,IF(OR($BP23&gt;20,AND($BP23=20,$BR23&gt;0)),"20時間を",IF($BR23=0,IF($BP23=0,0,IF($BP23&gt;5,$BP23,5)),IF($BP23&lt;5,5,$BP23))))</f>
        <v>0</v>
      </c>
      <c r="AG23" s="277"/>
      <c r="AH23" s="277"/>
      <c r="AI23" s="278">
        <f>IF(OR($G23="",AB23=""),0,IF($AF23="20時間を","超えています",IF($BP23&lt;5,0,$BR23)))</f>
        <v>0</v>
      </c>
      <c r="AJ23" s="278"/>
      <c r="AK23" s="278"/>
      <c r="AL23" s="278"/>
      <c r="AM23" s="75" t="s">
        <v>47</v>
      </c>
      <c r="AN23" s="279">
        <f>IF(AF23="20時間を",0,IF(OR($G23="",$AB23=""),0,HOUR($CC23)))</f>
        <v>0</v>
      </c>
      <c r="AO23" s="279"/>
      <c r="AP23" s="279"/>
      <c r="AQ23" s="280">
        <f>IF(AF23="20時間を",0,IF(OR($G23="",AB23=""),0,MINUTE($CC23)))</f>
        <v>0</v>
      </c>
      <c r="AR23" s="280"/>
      <c r="AS23" s="38" t="s">
        <v>48</v>
      </c>
      <c r="AT23" s="76"/>
      <c r="AU23" s="76"/>
      <c r="AV23" s="38"/>
      <c r="BP23" s="275">
        <f>IF(CJ23=CF23,26,HOUR(BY23)+2)</f>
        <v>26</v>
      </c>
      <c r="BQ23" s="275"/>
      <c r="BR23" s="276" t="e">
        <f>MINUTE(BU23)</f>
        <v>#VALUE!</v>
      </c>
      <c r="BS23" s="276"/>
      <c r="BT23" s="177" t="s">
        <v>30</v>
      </c>
      <c r="BU23" s="257" t="e">
        <f>+BY23+$CN$6</f>
        <v>#VALUE!</v>
      </c>
      <c r="BV23" s="257"/>
      <c r="BW23" s="257"/>
      <c r="BX23" s="177"/>
      <c r="BY23" s="257" t="e">
        <f>CN23-CF23</f>
        <v>#VALUE!</v>
      </c>
      <c r="BZ23" s="257"/>
      <c r="CA23" s="257"/>
      <c r="CC23" s="267" t="e">
        <f>BU23-(IF($AB23&gt;$G23,IF($G23&lt;$A$17,IF($AB23&lt;=$A$17,0,IF($AB23&lt;$A$16,$AB23-$A$17,$A$16-$A$17)),IF($G23&lt;$A$16,IF($AB23&lt;$A$16,$AB23-$G23,$A$16-$G23),0)),IF($G23&gt;=$A$16,IF($AB23&lt;$A$17,0,IF($AB23&lt;$A$16,$AB23-$A$17,$A$16-$A$17)),IF($G23&gt;$A$17,IF($AB23&lt;$A$17,$A$16-$G23,($A$16-$G23)+($AB23-$A$17)),$A$16-$A$17))))</f>
        <v>#VALUE!</v>
      </c>
      <c r="CD23" s="267"/>
      <c r="CF23" s="267" t="str">
        <f>IF(AND(L23="",O23=""),"",TIME($L23,$O23,0))</f>
        <v/>
      </c>
      <c r="CG23" s="267"/>
      <c r="CH23" s="267"/>
      <c r="CJ23" s="267" t="str">
        <f>IF(AND(T23="",W23=""),"",TIME($T23,$W23,0))</f>
        <v/>
      </c>
      <c r="CK23" s="267"/>
      <c r="CL23" s="267"/>
      <c r="CN23" s="257" t="e">
        <f>IF(CF23&gt;=CJ23,CJ23+$CC$11,CJ23)</f>
        <v>#VALUE!</v>
      </c>
      <c r="CO23" s="257"/>
      <c r="CP23" s="257"/>
    </row>
    <row r="24" spans="1:94" ht="12.75" customHeight="1" thickBot="1" x14ac:dyDescent="0.2">
      <c r="A24" s="8"/>
      <c r="B24" s="8"/>
      <c r="C24" s="8"/>
      <c r="W24" s="270" t="str">
        <f>IF(OR($G23="",$AB23=""),"",IF($BP23&gt;=5,"",IF($BP23*60+$BR23&gt;0,"運転時間は最低３時間のため始業点呼・就業点呼の＋２時間で５時間となります","")))</f>
        <v/>
      </c>
      <c r="X24" s="270"/>
      <c r="Y24" s="270"/>
      <c r="Z24" s="270"/>
      <c r="AA24" s="270"/>
      <c r="AB24" s="270"/>
      <c r="AC24" s="270"/>
      <c r="AD24" s="270"/>
      <c r="AE24" s="270"/>
      <c r="AF24" s="270"/>
      <c r="AG24" s="270"/>
      <c r="AH24" s="270"/>
      <c r="AI24" s="270"/>
      <c r="AJ24" s="270"/>
      <c r="AK24" s="270"/>
      <c r="AL24" s="270"/>
      <c r="AM24" s="270"/>
      <c r="AN24" s="270"/>
    </row>
    <row r="25" spans="1:94" ht="18.75" customHeight="1" thickBot="1" x14ac:dyDescent="0.2">
      <c r="A25" s="261">
        <v>0.20833333333333334</v>
      </c>
      <c r="B25" s="261"/>
      <c r="C25" s="261"/>
      <c r="D25" s="7" t="s">
        <v>116</v>
      </c>
      <c r="E25" s="74"/>
      <c r="G25" s="262" t="str">
        <f>IF(AND($L25="",$O25=""),"",IF($L25=0,TIME(23,$O25,0),TIME($L25-1,$O25,0)))</f>
        <v/>
      </c>
      <c r="H25" s="262"/>
      <c r="I25" s="262"/>
      <c r="J25" s="212" t="s">
        <v>39</v>
      </c>
      <c r="K25" s="212"/>
      <c r="L25" s="273"/>
      <c r="M25" s="274"/>
      <c r="N25" s="5" t="s">
        <v>46</v>
      </c>
      <c r="O25" s="265"/>
      <c r="P25" s="266"/>
      <c r="Q25" s="38" t="s">
        <v>21</v>
      </c>
      <c r="R25" s="212" t="s">
        <v>39</v>
      </c>
      <c r="S25" s="212"/>
      <c r="T25" s="273"/>
      <c r="U25" s="274"/>
      <c r="V25" s="5" t="s">
        <v>46</v>
      </c>
      <c r="W25" s="265"/>
      <c r="X25" s="266"/>
      <c r="Y25" s="38" t="s">
        <v>21</v>
      </c>
      <c r="Z25" s="212" t="s">
        <v>39</v>
      </c>
      <c r="AA25" s="212"/>
      <c r="AB25" s="262" t="str">
        <f>IF(AND($T25="",$W25=""),"",TIME(T25+1,W25,0))</f>
        <v/>
      </c>
      <c r="AC25" s="262"/>
      <c r="AD25" s="262"/>
      <c r="AE25" s="179"/>
      <c r="AF25" s="277">
        <f>IF(OR($G25="",$AB25=""),0,IF(OR($BP25&gt;20,AND($BP25=20,$BR25&gt;0)),"20時間を",IF($BR25=0,IF($BP25=0,0,IF($BP25&gt;5,$BP25,5)),IF($BP25&lt;5,5,$BP25))))</f>
        <v>0</v>
      </c>
      <c r="AG25" s="277"/>
      <c r="AH25" s="277"/>
      <c r="AI25" s="278">
        <f>IF(OR($G25="",AB25=""),0,IF($AF25="20時間を","超えています",IF($BP25&lt;5,0,$BR25)))</f>
        <v>0</v>
      </c>
      <c r="AJ25" s="278"/>
      <c r="AK25" s="278"/>
      <c r="AL25" s="278"/>
      <c r="AM25" s="75" t="s">
        <v>47</v>
      </c>
      <c r="AN25" s="279">
        <f>IF(AF25="20時間を",0,IF(OR($G25="",$AB25=""),0,HOUR($CC25)))</f>
        <v>0</v>
      </c>
      <c r="AO25" s="279"/>
      <c r="AP25" s="279"/>
      <c r="AQ25" s="280">
        <f>IF(AF25="20時間を",0,IF(OR($G25="",AB25=""),0,MINUTE($CC25)))</f>
        <v>0</v>
      </c>
      <c r="AR25" s="280"/>
      <c r="AS25" s="38" t="s">
        <v>48</v>
      </c>
      <c r="AT25" s="76"/>
      <c r="AU25" s="76"/>
      <c r="AV25" s="38"/>
      <c r="BP25" s="275">
        <f>IF(CJ25=CF25,26,HOUR(BY25)+2)</f>
        <v>26</v>
      </c>
      <c r="BQ25" s="275"/>
      <c r="BR25" s="276" t="e">
        <f>MINUTE(BU25)</f>
        <v>#VALUE!</v>
      </c>
      <c r="BS25" s="276"/>
      <c r="BT25" s="177" t="s">
        <v>30</v>
      </c>
      <c r="BU25" s="257" t="e">
        <f>+BY25+$CN$6</f>
        <v>#VALUE!</v>
      </c>
      <c r="BV25" s="257"/>
      <c r="BW25" s="257"/>
      <c r="BX25" s="177"/>
      <c r="BY25" s="257" t="e">
        <f>CN25-CF25</f>
        <v>#VALUE!</v>
      </c>
      <c r="BZ25" s="257"/>
      <c r="CA25" s="257"/>
      <c r="CC25" s="267" t="e">
        <f>BU25-(IF($AB25&gt;$G25,IF($G25&lt;$A$17,IF($AB25&lt;=$A$17,0,IF($AB25&lt;$A$16,$AB25-$A$17,$A$16-$A$17)),IF($G25&lt;$A$16,IF($AB25&lt;$A$16,$AB25-$G25,$A$16-$G25),0)),IF($G25&gt;=$A$16,IF($AB25&lt;$A$17,0,IF($AB25&lt;$A$16,$AB25-$A$17,$A$16-$A$17)),IF($G25&gt;$A$17,IF($AB25&lt;$A$17,$A$16-$G25,($A$16-$G25)+($AB25-$A$17)),$A$16-$A$17))))</f>
        <v>#VALUE!</v>
      </c>
      <c r="CD25" s="267"/>
      <c r="CF25" s="267" t="str">
        <f>IF(AND(L25="",O25=""),"",TIME($L25,$O25,0))</f>
        <v/>
      </c>
      <c r="CG25" s="267"/>
      <c r="CH25" s="267"/>
      <c r="CJ25" s="267" t="str">
        <f>IF(AND(T25="",W25=""),"",TIME($T25,$W25,0))</f>
        <v/>
      </c>
      <c r="CK25" s="267"/>
      <c r="CL25" s="267"/>
      <c r="CN25" s="257" t="e">
        <f>IF(CF25&gt;=CJ25,CJ25+$CC$11,CJ25)</f>
        <v>#VALUE!</v>
      </c>
      <c r="CO25" s="257"/>
      <c r="CP25" s="257"/>
    </row>
    <row r="26" spans="1:94" ht="12.75" customHeight="1" thickBot="1" x14ac:dyDescent="0.2">
      <c r="A26" s="8"/>
      <c r="B26" s="8"/>
      <c r="C26" s="8"/>
      <c r="W26" s="270" t="str">
        <f>IF(OR($G25="",$AB25=""),"",IF($BP25&gt;=5,"",IF($BP25*60+$BR25&gt;0,"運転時間は最低３時間のため始業点呼・就業点呼の＋２時間で５時間となります","")))</f>
        <v/>
      </c>
      <c r="X26" s="270"/>
      <c r="Y26" s="270"/>
      <c r="Z26" s="270"/>
      <c r="AA26" s="270"/>
      <c r="AB26" s="270"/>
      <c r="AC26" s="270"/>
      <c r="AD26" s="270"/>
      <c r="AE26" s="270"/>
      <c r="AF26" s="270"/>
      <c r="AG26" s="270"/>
      <c r="AH26" s="270"/>
      <c r="AI26" s="270"/>
      <c r="AJ26" s="270"/>
      <c r="AK26" s="270"/>
      <c r="AL26" s="270"/>
      <c r="AM26" s="270"/>
      <c r="AN26" s="270"/>
    </row>
    <row r="27" spans="1:94" ht="18.75" customHeight="1" thickBot="1" x14ac:dyDescent="0.2">
      <c r="A27" s="261">
        <v>0.20833333333333334</v>
      </c>
      <c r="B27" s="261"/>
      <c r="C27" s="261"/>
      <c r="D27" s="7" t="s">
        <v>117</v>
      </c>
      <c r="E27" s="74"/>
      <c r="G27" s="262" t="str">
        <f>IF(AND($L27="",$O27=""),"",IF($L27=0,TIME(23,$O27,0),TIME($L27-1,$O27,0)))</f>
        <v/>
      </c>
      <c r="H27" s="262"/>
      <c r="I27" s="262"/>
      <c r="J27" s="212" t="s">
        <v>39</v>
      </c>
      <c r="K27" s="212"/>
      <c r="L27" s="273"/>
      <c r="M27" s="274"/>
      <c r="N27" s="5" t="s">
        <v>46</v>
      </c>
      <c r="O27" s="265"/>
      <c r="P27" s="266"/>
      <c r="Q27" s="38" t="s">
        <v>21</v>
      </c>
      <c r="R27" s="212" t="s">
        <v>39</v>
      </c>
      <c r="S27" s="212"/>
      <c r="T27" s="273"/>
      <c r="U27" s="274"/>
      <c r="V27" s="5" t="s">
        <v>46</v>
      </c>
      <c r="W27" s="265"/>
      <c r="X27" s="266"/>
      <c r="Y27" s="38" t="s">
        <v>21</v>
      </c>
      <c r="Z27" s="212" t="s">
        <v>39</v>
      </c>
      <c r="AA27" s="212"/>
      <c r="AB27" s="262" t="str">
        <f>IF(AND($T27="",$W27=""),"",TIME(T27+1,W27,0))</f>
        <v/>
      </c>
      <c r="AC27" s="262"/>
      <c r="AD27" s="262"/>
      <c r="AE27" s="179"/>
      <c r="AF27" s="277">
        <f>IF(OR($G27="",$AB27=""),0,IF(OR($BP27&gt;20,AND($BP27=20,$BR27&gt;0)),"20時間を",IF($BR27=0,IF($BP27=0,0,IF($BP27&gt;5,$BP27,5)),IF($BP27&lt;5,5,$BP27))))</f>
        <v>0</v>
      </c>
      <c r="AG27" s="277"/>
      <c r="AH27" s="277"/>
      <c r="AI27" s="278">
        <f>IF(OR($G27="",AB27=""),0,IF($AF27="20時間を","超えています",IF($BP27&lt;5,0,$BR27)))</f>
        <v>0</v>
      </c>
      <c r="AJ27" s="278"/>
      <c r="AK27" s="278"/>
      <c r="AL27" s="278"/>
      <c r="AM27" s="75" t="s">
        <v>47</v>
      </c>
      <c r="AN27" s="279">
        <f>IF(AF27="20時間を",0,IF(OR($G27="",$AB27=""),0,HOUR($CC27)))</f>
        <v>0</v>
      </c>
      <c r="AO27" s="279"/>
      <c r="AP27" s="279"/>
      <c r="AQ27" s="280">
        <f>IF(AF27="20時間を",0,IF(OR($G27="",AB27=""),0,MINUTE($CC27)))</f>
        <v>0</v>
      </c>
      <c r="AR27" s="280"/>
      <c r="AS27" s="38" t="s">
        <v>48</v>
      </c>
      <c r="AT27" s="76"/>
      <c r="AU27" s="76"/>
      <c r="AV27" s="38"/>
      <c r="BP27" s="275">
        <f>IF(CJ27=CF27,26,HOUR(BY27)+2)</f>
        <v>26</v>
      </c>
      <c r="BQ27" s="275"/>
      <c r="BR27" s="276" t="e">
        <f>MINUTE(BU27)</f>
        <v>#VALUE!</v>
      </c>
      <c r="BS27" s="276"/>
      <c r="BT27" s="177" t="s">
        <v>30</v>
      </c>
      <c r="BU27" s="257" t="e">
        <f>+BY27+$CN$6</f>
        <v>#VALUE!</v>
      </c>
      <c r="BV27" s="257"/>
      <c r="BW27" s="257"/>
      <c r="BX27" s="177"/>
      <c r="BY27" s="257" t="e">
        <f>CN27-CF27</f>
        <v>#VALUE!</v>
      </c>
      <c r="BZ27" s="257"/>
      <c r="CA27" s="257"/>
      <c r="CC27" s="267" t="e">
        <f>BU27-(IF($AB27&gt;$G27,IF($G27&lt;$A$17,IF($AB27&lt;=$A$17,0,IF($AB27&lt;$A$16,$AB27-$A$17,$A$16-$A$17)),IF($G27&lt;$A$16,IF($AB27&lt;$A$16,$AB27-$G27,$A$16-$G27),0)),IF($G27&gt;=$A$16,IF($AB27&lt;$A$17,0,IF($AB27&lt;$A$16,$AB27-$A$17,$A$16-$A$17)),IF($G27&gt;$A$17,IF($AB27&lt;$A$17,$A$16-$G27,($A$16-$G27)+($AB27-$A$17)),$A$16-$A$17))))</f>
        <v>#VALUE!</v>
      </c>
      <c r="CD27" s="267"/>
      <c r="CF27" s="267" t="str">
        <f>IF(AND(L27="",O27=""),"",TIME($L27,$O27,0))</f>
        <v/>
      </c>
      <c r="CG27" s="267"/>
      <c r="CH27" s="267"/>
      <c r="CJ27" s="267" t="str">
        <f>IF(AND(T27="",W27=""),"",TIME($T27,$W27,0))</f>
        <v/>
      </c>
      <c r="CK27" s="267"/>
      <c r="CL27" s="267"/>
      <c r="CN27" s="257" t="e">
        <f>IF(CF27&gt;=CJ27,CJ27+$CC$11,CJ27)</f>
        <v>#VALUE!</v>
      </c>
      <c r="CO27" s="257"/>
      <c r="CP27" s="257"/>
    </row>
    <row r="28" spans="1:94" ht="12.75" customHeight="1" thickBot="1" x14ac:dyDescent="0.2">
      <c r="A28" s="8"/>
      <c r="B28" s="8"/>
      <c r="C28" s="8"/>
      <c r="W28" s="270" t="str">
        <f>IF(OR($G27="",$AB27=""),"",IF($BP27&gt;=5,"",IF($BP27*60+$BR27&gt;0,"運転時間は最低３時間のため始業点呼・就業点呼の＋２時間で５時間となります","")))</f>
        <v/>
      </c>
      <c r="X28" s="270"/>
      <c r="Y28" s="270"/>
      <c r="Z28" s="270"/>
      <c r="AA28" s="270"/>
      <c r="AB28" s="270"/>
      <c r="AC28" s="270"/>
      <c r="AD28" s="270"/>
      <c r="AE28" s="270"/>
      <c r="AF28" s="270"/>
      <c r="AG28" s="270"/>
      <c r="AH28" s="270"/>
      <c r="AI28" s="270"/>
      <c r="AJ28" s="270"/>
      <c r="AK28" s="270"/>
      <c r="AL28" s="270"/>
      <c r="AM28" s="270"/>
      <c r="AN28" s="270"/>
    </row>
    <row r="29" spans="1:94" ht="18.75" customHeight="1" thickBot="1" x14ac:dyDescent="0.2">
      <c r="A29" s="261">
        <v>0.20833333333333334</v>
      </c>
      <c r="B29" s="261"/>
      <c r="C29" s="261"/>
      <c r="D29" s="7" t="s">
        <v>118</v>
      </c>
      <c r="E29" s="74"/>
      <c r="G29" s="262" t="str">
        <f>IF(AND($L29="",$O29=""),"",IF($L29=0,TIME(23,$O29,0),TIME($L29-1,$O29,0)))</f>
        <v/>
      </c>
      <c r="H29" s="262"/>
      <c r="I29" s="262"/>
      <c r="J29" s="212" t="s">
        <v>39</v>
      </c>
      <c r="K29" s="212"/>
      <c r="L29" s="273"/>
      <c r="M29" s="274"/>
      <c r="N29" s="5" t="s">
        <v>46</v>
      </c>
      <c r="O29" s="265"/>
      <c r="P29" s="266"/>
      <c r="Q29" s="38" t="s">
        <v>21</v>
      </c>
      <c r="R29" s="212" t="s">
        <v>39</v>
      </c>
      <c r="S29" s="212"/>
      <c r="T29" s="273"/>
      <c r="U29" s="274"/>
      <c r="V29" s="5" t="s">
        <v>46</v>
      </c>
      <c r="W29" s="265"/>
      <c r="X29" s="266"/>
      <c r="Y29" s="38" t="s">
        <v>21</v>
      </c>
      <c r="Z29" s="212" t="s">
        <v>39</v>
      </c>
      <c r="AA29" s="212"/>
      <c r="AB29" s="262" t="str">
        <f>IF(AND($T29="",$W29=""),"",TIME(T29+1,W29,0))</f>
        <v/>
      </c>
      <c r="AC29" s="262"/>
      <c r="AD29" s="262"/>
      <c r="AE29" s="179"/>
      <c r="AF29" s="277">
        <f>IF(OR($G29="",$AB29=""),0,IF(OR($BP29&gt;20,AND($BP29=20,$BR29&gt;0)),"20時間を",IF($BR29=0,IF($BP29=0,0,IF($BP29&gt;5,$BP29,5)),IF($BP29&lt;5,5,$BP29))))</f>
        <v>0</v>
      </c>
      <c r="AG29" s="277"/>
      <c r="AH29" s="277"/>
      <c r="AI29" s="278">
        <f>IF(OR($G29="",AB29=""),0,IF($AF29="20時間を","超えています",IF($BP29&lt;5,0,$BR29)))</f>
        <v>0</v>
      </c>
      <c r="AJ29" s="278"/>
      <c r="AK29" s="278"/>
      <c r="AL29" s="278"/>
      <c r="AM29" s="75" t="s">
        <v>47</v>
      </c>
      <c r="AN29" s="279">
        <f>IF(AF29="20時間を",0,IF(OR($G29="",$AB29=""),0,HOUR($CC29)))</f>
        <v>0</v>
      </c>
      <c r="AO29" s="279"/>
      <c r="AP29" s="279"/>
      <c r="AQ29" s="280">
        <f>IF(AF29="20時間を",0,IF(OR($G29="",AB29=""),0,MINUTE($CC29)))</f>
        <v>0</v>
      </c>
      <c r="AR29" s="280"/>
      <c r="AS29" s="38" t="s">
        <v>48</v>
      </c>
      <c r="AT29" s="76"/>
      <c r="AU29" s="76"/>
      <c r="AV29" s="38"/>
      <c r="BP29" s="275">
        <f>IF(CJ29=CF29,26,HOUR(BY29)+2)</f>
        <v>26</v>
      </c>
      <c r="BQ29" s="275"/>
      <c r="BR29" s="276" t="e">
        <f>MINUTE(BU29)</f>
        <v>#VALUE!</v>
      </c>
      <c r="BS29" s="276"/>
      <c r="BT29" s="177" t="s">
        <v>30</v>
      </c>
      <c r="BU29" s="257" t="e">
        <f>+BY29+$CN$6</f>
        <v>#VALUE!</v>
      </c>
      <c r="BV29" s="257"/>
      <c r="BW29" s="257"/>
      <c r="BX29" s="177"/>
      <c r="BY29" s="257" t="e">
        <f>CN29-CF29</f>
        <v>#VALUE!</v>
      </c>
      <c r="BZ29" s="257"/>
      <c r="CA29" s="257"/>
      <c r="CC29" s="267" t="e">
        <f>BU29-(IF($AB29&gt;$G29,IF($G29&lt;$A$17,IF($AB29&lt;=$A$17,0,IF($AB29&lt;$A$16,$AB29-$A$17,$A$16-$A$17)),IF($G29&lt;$A$16,IF($AB29&lt;$A$16,$AB29-$G29,$A$16-$G29),0)),IF($G29&gt;=$A$16,IF($AB29&lt;$A$17,0,IF($AB29&lt;$A$16,$AB29-$A$17,$A$16-$A$17)),IF($G29&gt;$A$17,IF($AB29&lt;$A$17,$A$16-$G29,($A$16-$G29)+($AB29-$A$17)),$A$16-$A$17))))</f>
        <v>#VALUE!</v>
      </c>
      <c r="CD29" s="267"/>
      <c r="CF29" s="267" t="str">
        <f>IF(AND(L29="",O29=""),"",TIME($L29,$O29,0))</f>
        <v/>
      </c>
      <c r="CG29" s="267"/>
      <c r="CH29" s="267"/>
      <c r="CJ29" s="267" t="str">
        <f>IF(AND(T29="",W29=""),"",TIME($T29,$W29,0))</f>
        <v/>
      </c>
      <c r="CK29" s="267"/>
      <c r="CL29" s="267"/>
      <c r="CN29" s="257" t="e">
        <f>IF(CF29&gt;=CJ29,CJ29+$CC$11,CJ29)</f>
        <v>#VALUE!</v>
      </c>
      <c r="CO29" s="257"/>
      <c r="CP29" s="257"/>
    </row>
    <row r="30" spans="1:94" ht="12.75" customHeight="1" thickBot="1" x14ac:dyDescent="0.2">
      <c r="A30" s="8"/>
      <c r="B30" s="8"/>
      <c r="C30" s="8"/>
      <c r="W30" s="270" t="str">
        <f>IF(OR($G29="",$AB29=""),"",IF($BP29&gt;=5,"",IF($BP29*60+$BR29&gt;0,"運転時間は最低３時間のため始業点呼・就業点呼の＋２時間で５時間となります","")))</f>
        <v/>
      </c>
      <c r="X30" s="270"/>
      <c r="Y30" s="270"/>
      <c r="Z30" s="270"/>
      <c r="AA30" s="270"/>
      <c r="AB30" s="270"/>
      <c r="AC30" s="270"/>
      <c r="AD30" s="270"/>
      <c r="AE30" s="270"/>
      <c r="AF30" s="270"/>
      <c r="AG30" s="270"/>
      <c r="AH30" s="270"/>
      <c r="AI30" s="270"/>
      <c r="AJ30" s="270"/>
      <c r="AK30" s="270"/>
      <c r="AL30" s="270"/>
      <c r="AM30" s="270"/>
      <c r="AN30" s="270"/>
    </row>
    <row r="31" spans="1:94" ht="18.75" customHeight="1" thickBot="1" x14ac:dyDescent="0.2">
      <c r="A31" s="261">
        <v>0.20833333333333334</v>
      </c>
      <c r="B31" s="261"/>
      <c r="C31" s="261"/>
      <c r="D31" s="7" t="s">
        <v>120</v>
      </c>
      <c r="E31" s="74"/>
      <c r="G31" s="262" t="str">
        <f>IF(AND($L31="",$O31=""),"",IF($L31=0,TIME(23,$O31,0),TIME($L31-1,$O31,0)))</f>
        <v/>
      </c>
      <c r="H31" s="262"/>
      <c r="I31" s="262"/>
      <c r="J31" s="212" t="s">
        <v>39</v>
      </c>
      <c r="K31" s="212"/>
      <c r="L31" s="273"/>
      <c r="M31" s="274"/>
      <c r="N31" s="5" t="s">
        <v>46</v>
      </c>
      <c r="O31" s="265"/>
      <c r="P31" s="266"/>
      <c r="Q31" s="38" t="s">
        <v>21</v>
      </c>
      <c r="R31" s="212" t="s">
        <v>39</v>
      </c>
      <c r="S31" s="212"/>
      <c r="T31" s="273"/>
      <c r="U31" s="274"/>
      <c r="V31" s="5" t="s">
        <v>46</v>
      </c>
      <c r="W31" s="265"/>
      <c r="X31" s="266"/>
      <c r="Y31" s="38" t="s">
        <v>21</v>
      </c>
      <c r="Z31" s="212" t="s">
        <v>39</v>
      </c>
      <c r="AA31" s="212"/>
      <c r="AB31" s="262" t="str">
        <f>IF(AND($T31="",$W31=""),"",TIME(T31+1,W31,0))</f>
        <v/>
      </c>
      <c r="AC31" s="262"/>
      <c r="AD31" s="262"/>
      <c r="AE31" s="179"/>
      <c r="AF31" s="277">
        <f>IF(OR($G31="",$AB31=""),0,IF(OR($BP31&gt;20,AND($BP31=20,$BR31&gt;0)),"20時間を",IF($BR31=0,IF($BP31=0,0,IF($BP31&gt;5,$BP31,5)),IF($BP31&lt;5,5,$BP31))))</f>
        <v>0</v>
      </c>
      <c r="AG31" s="277"/>
      <c r="AH31" s="277"/>
      <c r="AI31" s="278">
        <f>IF(OR($G31="",AB31=""),0,IF($AF31="20時間を","超えています",IF($BP31&lt;5,0,$BR31)))</f>
        <v>0</v>
      </c>
      <c r="AJ31" s="278"/>
      <c r="AK31" s="278"/>
      <c r="AL31" s="278"/>
      <c r="AM31" s="75" t="s">
        <v>47</v>
      </c>
      <c r="AN31" s="279">
        <f>IF(AF31="20時間を",0,IF(OR($G31="",$AB31=""),0,HOUR($CC31)))</f>
        <v>0</v>
      </c>
      <c r="AO31" s="279"/>
      <c r="AP31" s="279"/>
      <c r="AQ31" s="280">
        <f>IF(AF31="20時間を",0,IF(OR($G31="",AB31=""),0,MINUTE($CC31)))</f>
        <v>0</v>
      </c>
      <c r="AR31" s="280"/>
      <c r="AS31" s="38" t="s">
        <v>48</v>
      </c>
      <c r="AT31" s="76"/>
      <c r="AU31" s="76"/>
      <c r="AV31" s="38"/>
      <c r="BP31" s="275">
        <f>IF(CJ31=CF31,26,HOUR(BY31)+2)</f>
        <v>26</v>
      </c>
      <c r="BQ31" s="275"/>
      <c r="BR31" s="276" t="e">
        <f>MINUTE(BU31)</f>
        <v>#VALUE!</v>
      </c>
      <c r="BS31" s="276"/>
      <c r="BT31" s="177" t="s">
        <v>30</v>
      </c>
      <c r="BU31" s="257" t="e">
        <f>+BY31+$CN$6</f>
        <v>#VALUE!</v>
      </c>
      <c r="BV31" s="257"/>
      <c r="BW31" s="257"/>
      <c r="BX31" s="177"/>
      <c r="BY31" s="257" t="e">
        <f>CN31-CF31</f>
        <v>#VALUE!</v>
      </c>
      <c r="BZ31" s="257"/>
      <c r="CA31" s="257"/>
      <c r="CC31" s="267" t="e">
        <f>BU31-(IF($AB31&gt;$G31,IF($G31&lt;$A$17,IF($AB31&lt;=$A$17,0,IF($AB31&lt;$A$16,$AB31-$A$17,$A$16-$A$17)),IF($G31&lt;$A$16,IF($AB31&lt;$A$16,$AB31-$G31,$A$16-$G31),0)),IF($G31&gt;=$A$16,IF($AB31&lt;$A$17,0,IF($AB31&lt;$A$16,$AB31-$A$17,$A$16-$A$17)),IF($G31&gt;$A$17,IF($AB31&lt;$A$17,$A$16-$G31,($A$16-$G31)+($AB31-$A$17)),$A$16-$A$17))))</f>
        <v>#VALUE!</v>
      </c>
      <c r="CD31" s="267"/>
      <c r="CF31" s="267" t="str">
        <f>IF(AND(L31="",O31=""),"",TIME($L31,$O31,0))</f>
        <v/>
      </c>
      <c r="CG31" s="267"/>
      <c r="CH31" s="267"/>
      <c r="CJ31" s="267" t="str">
        <f>IF(AND(T31="",W31=""),"",TIME($T31,$W31,0))</f>
        <v/>
      </c>
      <c r="CK31" s="267"/>
      <c r="CL31" s="267"/>
      <c r="CN31" s="257" t="e">
        <f>IF(CF31&gt;=CJ31,CJ31+$CC$11,CJ31)</f>
        <v>#VALUE!</v>
      </c>
      <c r="CO31" s="257"/>
      <c r="CP31" s="257"/>
    </row>
    <row r="32" spans="1:94" ht="12.75" customHeight="1" x14ac:dyDescent="0.15">
      <c r="A32" s="8"/>
      <c r="B32" s="8"/>
      <c r="C32" s="8"/>
      <c r="W32" s="270" t="str">
        <f>IF(OR($G31="",$AB31=""),"",IF($BP31&gt;=5,"",IF($BP31*60+$BR31&gt;0,"運転時間は最低３時間のため始業点呼・就業点呼の＋２時間で５時間となります","")))</f>
        <v/>
      </c>
      <c r="X32" s="270"/>
      <c r="Y32" s="270"/>
      <c r="Z32" s="270"/>
      <c r="AA32" s="270"/>
      <c r="AB32" s="270"/>
      <c r="AC32" s="270"/>
      <c r="AD32" s="270"/>
      <c r="AE32" s="270"/>
      <c r="AF32" s="270"/>
      <c r="AG32" s="270"/>
      <c r="AH32" s="270"/>
      <c r="AI32" s="270"/>
      <c r="AJ32" s="270"/>
      <c r="AK32" s="270"/>
      <c r="AL32" s="270"/>
      <c r="AM32" s="270"/>
      <c r="AN32" s="270"/>
    </row>
    <row r="33" spans="5:86" ht="19.5" customHeight="1" x14ac:dyDescent="0.15">
      <c r="U33" s="226" t="s">
        <v>22</v>
      </c>
      <c r="V33" s="226"/>
      <c r="W33" s="226"/>
      <c r="X33" s="226"/>
      <c r="Y33" s="226"/>
      <c r="Z33" s="226"/>
      <c r="AA33" s="226"/>
      <c r="AB33" s="226"/>
      <c r="AC33" s="226"/>
      <c r="AD33" s="226"/>
      <c r="AE33" s="226"/>
      <c r="AF33" s="281">
        <f>IF(ISERROR(ROUND(((+AF13+AF15+AF17+AF19+AF21+AF23+AF25+AF27+AF29+AF31)*60+AI13+AI15+AI17+AI19+AI21+AI23+AI25+AI27+AI29+AI31)/60,0)),0,ROUND(((+AF13+AF15+AF17+AF19+AF21+AF23+AF25+AF27+AF29+AF31)*60+AI13+AI15+AI17+AI19+AI21+AI23+AI25+AI27+AI29+AI31)/60,0))</f>
        <v>22</v>
      </c>
      <c r="AG33" s="281"/>
      <c r="AH33" s="281"/>
      <c r="AI33" s="281"/>
      <c r="AK33" s="226" t="s">
        <v>38</v>
      </c>
      <c r="AL33" s="226"/>
      <c r="AM33" s="226"/>
      <c r="AN33" s="226"/>
      <c r="AO33" s="226"/>
      <c r="AP33" s="226"/>
      <c r="AQ33" s="281">
        <f>IF(ISERROR(ROUND(((AN13+AN15+AN17+AN19+AN21+AN23+AN25+AN27+AN29+AN31)*60+AQ13+AQ15+AQ17+AQ19+AQ21+AQ23+AQ25+AQ27+AQ29+AQ31)/60,0)),"",ROUND(((AN13+AN15+AN17+AN19+AN21+AN23+AN25+AN27+AN29+AN31)*60+AQ13+AQ15+AQ17+AQ19+AQ21+AQ23+AQ25+AQ27+AQ29+AQ31)/60,0))</f>
        <v>2</v>
      </c>
      <c r="AR33" s="281"/>
      <c r="AS33" s="281"/>
      <c r="AT33" s="281"/>
      <c r="AV33" s="11"/>
      <c r="AW33" s="143"/>
      <c r="BB33" s="144"/>
      <c r="BC33" s="88"/>
      <c r="BK33" s="89"/>
      <c r="BN33" s="180"/>
      <c r="BP33" s="90"/>
      <c r="BQ33" s="91"/>
      <c r="BY33" s="267">
        <f>+CC33-CF33</f>
        <v>0.83333333333333337</v>
      </c>
      <c r="BZ33" s="267"/>
      <c r="CA33" s="267"/>
      <c r="CC33" s="267">
        <v>0.95833333333333337</v>
      </c>
      <c r="CD33" s="267"/>
      <c r="CF33" s="267">
        <v>0.125</v>
      </c>
      <c r="CG33" s="267"/>
      <c r="CH33" s="267"/>
    </row>
    <row r="34" spans="5:86" ht="15" customHeight="1" x14ac:dyDescent="0.15">
      <c r="Y34" s="80"/>
      <c r="Z34" s="80"/>
      <c r="AA34" s="80"/>
      <c r="AC34" s="80"/>
      <c r="AD34" s="282" t="str">
        <f>IF(ISERROR(IF(MOD(AF13+AF15+AF17,60)&gt;0,"※３０分未満は切り捨て、３０分以上は１時間に切り上げとなります","")),"",IF(MOD(AF13+AF15+AF17,60)&gt;0,"※３０分未満は切り捨て、３０分以上は１時間に切り上げとなります",""))</f>
        <v>※３０分未満は切り捨て、３０分以上は１時間に切り上げとなります</v>
      </c>
      <c r="AE34" s="282"/>
      <c r="AF34" s="282"/>
      <c r="AG34" s="282"/>
      <c r="AH34" s="282"/>
      <c r="AI34" s="282"/>
      <c r="AJ34" s="282"/>
      <c r="AK34" s="282"/>
      <c r="AL34" s="282"/>
      <c r="AM34" s="282"/>
      <c r="AN34" s="282"/>
      <c r="AO34" s="282"/>
      <c r="AP34" s="282"/>
      <c r="AQ34" s="282"/>
      <c r="AR34" s="282"/>
      <c r="AS34" s="282"/>
      <c r="AT34" s="80"/>
      <c r="AY34" s="145"/>
      <c r="BK34" s="89"/>
      <c r="BN34" s="180"/>
      <c r="BP34" s="90"/>
      <c r="BQ34" s="91"/>
    </row>
    <row r="35" spans="5:86" ht="6" customHeight="1" x14ac:dyDescent="0.15">
      <c r="Y35" s="81"/>
      <c r="Z35" s="81"/>
      <c r="AA35" s="81"/>
      <c r="AB35" s="81"/>
      <c r="AC35" s="81"/>
      <c r="AD35" s="81"/>
      <c r="AE35" s="81"/>
      <c r="AF35" s="81"/>
      <c r="AG35" s="81"/>
      <c r="AH35" s="81"/>
      <c r="AI35" s="81"/>
      <c r="AJ35" s="81"/>
      <c r="AK35" s="81"/>
      <c r="AL35" s="81"/>
      <c r="AM35" s="81"/>
      <c r="AN35" s="81"/>
      <c r="AY35" s="145"/>
      <c r="BK35" s="89"/>
      <c r="BN35" s="180"/>
      <c r="BP35" s="90"/>
      <c r="BQ35" s="91"/>
    </row>
    <row r="36" spans="5:86" ht="14.25" customHeight="1" x14ac:dyDescent="0.15">
      <c r="M36" s="70"/>
      <c r="N36" s="283"/>
      <c r="O36" s="283"/>
      <c r="P36" s="283"/>
      <c r="Q36" s="82"/>
      <c r="R36" s="217" t="s">
        <v>7</v>
      </c>
      <c r="S36" s="217"/>
      <c r="T36" s="38"/>
      <c r="U36" s="81"/>
      <c r="V36" s="81"/>
      <c r="W36" s="81"/>
      <c r="X36" s="81"/>
      <c r="Y36" s="81"/>
      <c r="Z36" s="81"/>
      <c r="AA36" s="81"/>
      <c r="AB36" s="81"/>
      <c r="AC36" s="81"/>
      <c r="AN36" s="15"/>
      <c r="AR36" s="8"/>
      <c r="AS36" s="8"/>
      <c r="AT36" s="8"/>
      <c r="AU36" s="8"/>
      <c r="AV36" s="8"/>
      <c r="AW36" s="31"/>
      <c r="AX36" s="31"/>
      <c r="AY36" s="31"/>
      <c r="AZ36" s="89"/>
      <c r="BA36" s="31"/>
      <c r="BB36" s="31"/>
      <c r="BC36" s="180"/>
      <c r="BE36" s="90"/>
      <c r="BF36" s="91"/>
      <c r="BN36" s="284"/>
      <c r="BO36" s="285"/>
      <c r="BP36" s="285"/>
    </row>
    <row r="37" spans="5:86" ht="19.5" customHeight="1" x14ac:dyDescent="0.15">
      <c r="G37" s="5" t="s">
        <v>20</v>
      </c>
      <c r="J37" s="5" t="s">
        <v>11</v>
      </c>
      <c r="N37" s="287">
        <f ca="1">VLOOKUP($BC$12,INDIRECT(VLOOKUP($BC$5,$BR$56:$BS$65,2,FALSE)),3,FALSE)</f>
        <v>0</v>
      </c>
      <c r="O37" s="287"/>
      <c r="P37" s="287"/>
      <c r="Q37" s="107" t="s">
        <v>127</v>
      </c>
      <c r="R37" s="260">
        <f ca="1">VLOOKUP($BC$12,INDIRECT(VLOOKUP($BC$5,$BR$56:$BS$65,2,FALSE)),4,FALSE)</f>
        <v>160</v>
      </c>
      <c r="S37" s="260"/>
      <c r="T37" s="260"/>
      <c r="AJ37" s="8"/>
      <c r="AK37" s="8"/>
      <c r="AL37" s="8"/>
      <c r="AR37" s="8"/>
      <c r="AS37" s="8"/>
      <c r="AT37" s="8"/>
      <c r="AU37" s="8"/>
      <c r="AV37" s="8"/>
      <c r="AW37" s="31"/>
      <c r="AX37" s="31"/>
      <c r="AY37" s="31"/>
      <c r="AZ37" s="31"/>
      <c r="BA37" s="31"/>
      <c r="BB37" s="180"/>
    </row>
    <row r="38" spans="5:86" ht="6" customHeight="1" thickBot="1" x14ac:dyDescent="0.2">
      <c r="AV38" s="11"/>
      <c r="AW38" s="143"/>
      <c r="BM38" s="180"/>
    </row>
    <row r="39" spans="5:86" ht="19.5" customHeight="1" thickBot="1" x14ac:dyDescent="0.2">
      <c r="J39" s="5" t="s">
        <v>17</v>
      </c>
      <c r="N39" s="273">
        <v>115</v>
      </c>
      <c r="O39" s="288"/>
      <c r="P39" s="274"/>
      <c r="Q39" s="5" t="s">
        <v>18</v>
      </c>
      <c r="R39" s="289" t="str">
        <f>IF(T39="","","→")</f>
        <v>→</v>
      </c>
      <c r="S39" s="289"/>
      <c r="T39" s="290">
        <f>IF(MOD(N39,10)&gt;0,ROUNDUP(N39,-1),"")</f>
        <v>120</v>
      </c>
      <c r="U39" s="290"/>
      <c r="V39" s="290"/>
      <c r="W39" s="38" t="str">
        <f>IF(T39="","","㎞")</f>
        <v>㎞</v>
      </c>
      <c r="X39" s="72"/>
      <c r="Y39" s="83"/>
    </row>
    <row r="40" spans="5:86" ht="15" customHeight="1" x14ac:dyDescent="0.15">
      <c r="Q40" s="84" t="str">
        <f>IF(T39="","","１０㎞未満は１０㎞に切り上げとなります")</f>
        <v>１０㎞未満は１０㎞に切り上げとなります</v>
      </c>
      <c r="R40" s="85"/>
      <c r="S40" s="85"/>
      <c r="T40" s="85"/>
      <c r="U40" s="85"/>
      <c r="V40" s="85"/>
      <c r="W40" s="85"/>
      <c r="X40" s="85"/>
      <c r="AV40" s="11"/>
      <c r="AW40" s="143"/>
      <c r="BR40" s="31">
        <v>1</v>
      </c>
      <c r="BS40" s="31" t="s">
        <v>66</v>
      </c>
    </row>
    <row r="41" spans="5:86" ht="9.75" hidden="1" customHeight="1" x14ac:dyDescent="0.15">
      <c r="BR41" s="31">
        <v>2</v>
      </c>
      <c r="BS41" s="31" t="s">
        <v>67</v>
      </c>
    </row>
    <row r="42" spans="5:86" ht="15" hidden="1" customHeight="1" x14ac:dyDescent="0.15">
      <c r="G42" s="5" t="s">
        <v>128</v>
      </c>
      <c r="J42" s="49"/>
      <c r="K42" s="49"/>
      <c r="M42" s="116"/>
      <c r="N42" s="116"/>
      <c r="O42" s="116"/>
      <c r="P42" s="116"/>
      <c r="Q42" s="116"/>
      <c r="R42" s="116"/>
      <c r="S42" s="116"/>
      <c r="T42" s="116"/>
      <c r="U42" s="116"/>
      <c r="V42" s="116"/>
      <c r="W42" s="116"/>
      <c r="X42" s="116"/>
      <c r="Y42" s="9"/>
      <c r="Z42" s="8" t="s">
        <v>129</v>
      </c>
      <c r="AB42" s="116"/>
      <c r="AC42" s="116"/>
      <c r="AD42" s="116"/>
      <c r="AE42" s="116"/>
      <c r="AF42" s="116"/>
      <c r="AG42" s="116"/>
      <c r="AH42" s="116"/>
      <c r="AI42" s="116"/>
      <c r="AJ42" s="116"/>
      <c r="AK42" s="116"/>
      <c r="AL42" s="116"/>
      <c r="AM42" s="116"/>
      <c r="AN42" s="116"/>
      <c r="AO42" s="116"/>
      <c r="AP42" s="116"/>
      <c r="AQ42" s="116"/>
      <c r="AR42" s="116"/>
      <c r="AS42" s="116"/>
      <c r="AT42" s="106"/>
      <c r="AU42" s="106"/>
      <c r="AV42" s="106"/>
      <c r="AW42" s="147"/>
      <c r="AX42" s="147"/>
      <c r="AY42" s="101"/>
      <c r="AZ42" s="101"/>
      <c r="BA42" s="101"/>
      <c r="BB42" s="101"/>
      <c r="BR42" s="31">
        <v>3</v>
      </c>
      <c r="BS42" s="31" t="s">
        <v>68</v>
      </c>
    </row>
    <row r="43" spans="5:86" ht="15" customHeight="1" x14ac:dyDescent="0.15">
      <c r="AY43" s="101"/>
      <c r="AZ43" s="101"/>
      <c r="BA43" s="101"/>
      <c r="BB43" s="101"/>
      <c r="BC43" s="31">
        <v>0</v>
      </c>
      <c r="BR43" s="31">
        <v>4</v>
      </c>
      <c r="BS43" s="31" t="s">
        <v>69</v>
      </c>
    </row>
    <row r="44" spans="5:86" ht="18" customHeight="1" x14ac:dyDescent="0.15">
      <c r="E44" s="32" t="s">
        <v>32</v>
      </c>
      <c r="I44" s="32" t="s">
        <v>36</v>
      </c>
      <c r="AY44" s="101"/>
      <c r="AZ44" s="101"/>
      <c r="BA44" s="101"/>
      <c r="BB44" s="101"/>
      <c r="BR44" s="31">
        <v>5</v>
      </c>
      <c r="BS44" s="31" t="s">
        <v>70</v>
      </c>
    </row>
    <row r="45" spans="5:86" ht="15" customHeight="1" x14ac:dyDescent="0.15">
      <c r="K45" s="212" t="s">
        <v>12</v>
      </c>
      <c r="L45" s="212"/>
      <c r="M45" s="212"/>
      <c r="O45" s="5" t="s">
        <v>33</v>
      </c>
      <c r="S45" s="38"/>
      <c r="U45" s="212" t="s">
        <v>11</v>
      </c>
      <c r="V45" s="212"/>
      <c r="W45" s="212"/>
      <c r="Y45" s="212" t="s">
        <v>17</v>
      </c>
      <c r="Z45" s="212"/>
      <c r="AA45" s="212"/>
      <c r="AB45" s="212"/>
      <c r="AY45" s="101"/>
      <c r="AZ45" s="101"/>
      <c r="BA45" s="101"/>
      <c r="BB45" s="101"/>
      <c r="BR45" s="31">
        <v>6</v>
      </c>
      <c r="BS45" s="31" t="s">
        <v>75</v>
      </c>
    </row>
    <row r="46" spans="5:86" ht="14.25" hidden="1" x14ac:dyDescent="0.15">
      <c r="J46" s="106" t="s">
        <v>34</v>
      </c>
      <c r="K46" s="222">
        <f ca="1">時刻入力シート!N11</f>
        <v>0</v>
      </c>
      <c r="L46" s="222"/>
      <c r="M46" s="222"/>
      <c r="N46" s="103" t="s">
        <v>13</v>
      </c>
      <c r="O46" s="229">
        <f>+AF33</f>
        <v>22</v>
      </c>
      <c r="P46" s="229"/>
      <c r="Q46" s="229"/>
      <c r="R46" s="5" t="s">
        <v>35</v>
      </c>
      <c r="S46" s="103" t="s">
        <v>14</v>
      </c>
      <c r="T46" s="108" t="s">
        <v>34</v>
      </c>
      <c r="U46" s="222">
        <f ca="1">N37</f>
        <v>0</v>
      </c>
      <c r="V46" s="222"/>
      <c r="W46" s="222"/>
      <c r="X46" s="103" t="s">
        <v>13</v>
      </c>
      <c r="Y46" s="228">
        <f>IF($T$39="",$N$39,$T$39)</f>
        <v>120</v>
      </c>
      <c r="Z46" s="228"/>
      <c r="AA46" s="228"/>
      <c r="AB46" s="228"/>
      <c r="AC46" s="5" t="s">
        <v>35</v>
      </c>
      <c r="AD46" s="5" t="s">
        <v>16</v>
      </c>
      <c r="AF46" s="286">
        <f ca="1">IF(OR($AF$33=0,AC49,$N$39=""),"",ROUND(+K46*O46,0)+ROUND(U46*Y46,0))</f>
        <v>0</v>
      </c>
      <c r="AG46" s="286"/>
      <c r="AH46" s="286"/>
      <c r="AI46" s="286"/>
      <c r="AJ46" s="286"/>
      <c r="AK46" s="286"/>
      <c r="AL46" s="8" t="s">
        <v>130</v>
      </c>
      <c r="AP46" s="8"/>
      <c r="AY46" s="101"/>
      <c r="AZ46" s="101"/>
      <c r="BA46" s="101"/>
      <c r="BB46" s="101"/>
      <c r="BR46" s="31">
        <v>7</v>
      </c>
      <c r="BS46" s="31" t="s">
        <v>71</v>
      </c>
    </row>
    <row r="47" spans="5:86" ht="6" customHeight="1" x14ac:dyDescent="0.15">
      <c r="AX47" s="141"/>
      <c r="AY47" s="101"/>
      <c r="AZ47" s="101"/>
      <c r="BA47" s="101"/>
      <c r="BB47" s="101"/>
      <c r="BR47" s="31">
        <v>8</v>
      </c>
      <c r="BS47" s="31" t="s">
        <v>72</v>
      </c>
    </row>
    <row r="48" spans="5:86" ht="14.25" x14ac:dyDescent="0.15">
      <c r="J48" s="106" t="s">
        <v>34</v>
      </c>
      <c r="K48" s="222">
        <f ca="1">S11</f>
        <v>6580</v>
      </c>
      <c r="L48" s="222"/>
      <c r="M48" s="222"/>
      <c r="N48" s="103" t="s">
        <v>13</v>
      </c>
      <c r="O48" s="229">
        <f>+AF33</f>
        <v>22</v>
      </c>
      <c r="P48" s="229"/>
      <c r="Q48" s="229"/>
      <c r="R48" s="5" t="s">
        <v>35</v>
      </c>
      <c r="S48" s="103" t="s">
        <v>14</v>
      </c>
      <c r="T48" s="108" t="s">
        <v>34</v>
      </c>
      <c r="U48" s="222">
        <f ca="1">R37</f>
        <v>160</v>
      </c>
      <c r="V48" s="222"/>
      <c r="W48" s="222"/>
      <c r="X48" s="103" t="s">
        <v>13</v>
      </c>
      <c r="Y48" s="228">
        <f>IF($T$39="",N39,$T$39)</f>
        <v>120</v>
      </c>
      <c r="Z48" s="228"/>
      <c r="AA48" s="228"/>
      <c r="AB48" s="228"/>
      <c r="AC48" s="5" t="s">
        <v>35</v>
      </c>
      <c r="AD48" s="5" t="s">
        <v>16</v>
      </c>
      <c r="AF48" s="286">
        <f ca="1">IF(OR($AF$33=0,AC51,$N$39=""),"",ROUND(+K48*O48,0)+ROUND(U48*Y48,0))</f>
        <v>163960</v>
      </c>
      <c r="AG48" s="286"/>
      <c r="AH48" s="286"/>
      <c r="AI48" s="286"/>
      <c r="AJ48" s="286"/>
      <c r="AK48" s="286"/>
      <c r="AL48" s="8" t="s">
        <v>1</v>
      </c>
      <c r="AP48" s="8"/>
      <c r="AY48" s="101"/>
      <c r="AZ48" s="101"/>
      <c r="BA48" s="101"/>
      <c r="BB48" s="101"/>
      <c r="BR48" s="31">
        <v>9</v>
      </c>
      <c r="BS48" s="31" t="s">
        <v>73</v>
      </c>
    </row>
    <row r="49" spans="2:71" ht="6" customHeight="1" x14ac:dyDescent="0.15">
      <c r="AX49" s="141"/>
      <c r="AY49" s="101"/>
      <c r="AZ49" s="101"/>
      <c r="BA49" s="101"/>
      <c r="BB49" s="101"/>
      <c r="BR49" s="31">
        <v>10</v>
      </c>
      <c r="BS49" s="31" t="s">
        <v>74</v>
      </c>
    </row>
    <row r="50" spans="2:71" hidden="1" x14ac:dyDescent="0.15">
      <c r="I50" s="293" t="str">
        <f>IF($BC$43=1,"","割引額")</f>
        <v>割引額</v>
      </c>
      <c r="J50" s="293"/>
      <c r="K50" s="293"/>
      <c r="L50" s="212" t="str">
        <f>IF($BC$43=1,"","運賃額")</f>
        <v>運賃額</v>
      </c>
      <c r="M50" s="212"/>
      <c r="N50" s="212"/>
      <c r="O50" s="212"/>
      <c r="P50" s="50"/>
      <c r="Q50" s="234" t="str">
        <f>IF($BC$43=1,"","割引率")</f>
        <v>割引率</v>
      </c>
      <c r="R50" s="234"/>
      <c r="S50" s="234"/>
      <c r="T50" s="234"/>
      <c r="U50" s="50"/>
      <c r="V50" s="50"/>
      <c r="W50" s="50"/>
      <c r="X50" s="50"/>
      <c r="Y50" s="50"/>
      <c r="Z50" s="50"/>
      <c r="AA50" s="50"/>
      <c r="AB50" s="50"/>
      <c r="AC50" s="50"/>
      <c r="AD50" s="50"/>
      <c r="AE50" s="50"/>
      <c r="AF50" s="50"/>
      <c r="AG50" s="50"/>
      <c r="AH50" s="50"/>
      <c r="AI50" s="50"/>
      <c r="AJ50" s="50"/>
      <c r="AK50" s="50"/>
      <c r="AL50" s="50"/>
      <c r="AM50" s="50"/>
      <c r="AN50" s="50"/>
      <c r="AO50" s="50"/>
      <c r="AP50" s="8"/>
      <c r="AQ50" s="50"/>
      <c r="AR50" s="116"/>
      <c r="AS50" s="50"/>
      <c r="AT50" s="50"/>
      <c r="AW50" s="146"/>
      <c r="AY50" s="101"/>
      <c r="AZ50" s="101"/>
      <c r="BA50" s="101"/>
      <c r="BB50" s="101"/>
    </row>
    <row r="51" spans="2:71" ht="14.25" hidden="1" x14ac:dyDescent="0.15">
      <c r="I51" s="293"/>
      <c r="J51" s="293"/>
      <c r="K51" s="293"/>
      <c r="L51" s="222">
        <f ca="1">IF($BC$43=1,"",+$AF$46)</f>
        <v>0</v>
      </c>
      <c r="M51" s="222"/>
      <c r="N51" s="222"/>
      <c r="O51" s="222"/>
      <c r="P51" s="103" t="str">
        <f>IF($BC$43=1,"","×")</f>
        <v>×</v>
      </c>
      <c r="Q51" s="235">
        <f>IF($BC$43=1,"",IF($BC$43=2,0.3,IF($BC$43=3,0.2,0)))</f>
        <v>0</v>
      </c>
      <c r="R51" s="235"/>
      <c r="S51" s="235"/>
      <c r="T51" s="235"/>
      <c r="U51" s="5" t="str">
        <f>IF($BC$43=1,"","=")</f>
        <v>=</v>
      </c>
      <c r="V51" s="286">
        <f ca="1">IF($BC$43=1,"",IF(AF46="","",ROUND($L$51*$Q$51,0)))</f>
        <v>0</v>
      </c>
      <c r="W51" s="286"/>
      <c r="X51" s="286"/>
      <c r="Y51" s="286"/>
      <c r="Z51" s="286"/>
      <c r="AU51" s="103"/>
      <c r="AW51" s="141"/>
      <c r="AY51" s="101"/>
      <c r="AZ51" s="101"/>
      <c r="BA51" s="101"/>
      <c r="BB51" s="101"/>
    </row>
    <row r="52" spans="2:71" ht="6" hidden="1" customHeight="1" x14ac:dyDescent="0.15">
      <c r="AT52" s="103"/>
      <c r="AU52" s="103"/>
      <c r="AV52" s="103"/>
      <c r="AW52" s="141"/>
      <c r="AY52" s="133"/>
      <c r="AZ52" s="101"/>
      <c r="BA52" s="101"/>
      <c r="BB52" s="101"/>
      <c r="BD52" s="180"/>
      <c r="BE52" s="180"/>
      <c r="BF52" s="180"/>
      <c r="BG52" s="180"/>
      <c r="BH52" s="180"/>
      <c r="BI52" s="180"/>
    </row>
    <row r="53" spans="2:71" ht="19.5" hidden="1" customHeight="1" x14ac:dyDescent="0.15">
      <c r="I53" s="32" t="str">
        <f>IF($BC$43=1,"","割引後運賃額")</f>
        <v>割引後運賃額</v>
      </c>
      <c r="O53" s="239">
        <f ca="1">IF($BC$43=1,"",AF46)</f>
        <v>0</v>
      </c>
      <c r="P53" s="239"/>
      <c r="Q53" s="239"/>
      <c r="R53" s="239"/>
      <c r="S53" s="239"/>
      <c r="T53" s="239"/>
      <c r="U53" s="239"/>
      <c r="V53" s="239"/>
      <c r="W53" s="103" t="str">
        <f>IF($BC$43=1,"","－")</f>
        <v>－</v>
      </c>
      <c r="X53" s="212" t="str">
        <f>IF($BC$43=1,"","割引額")</f>
        <v>割引額</v>
      </c>
      <c r="Y53" s="212"/>
      <c r="Z53" s="212"/>
      <c r="AA53" s="5" t="str">
        <f>IF($BC$43=1,"","＝")</f>
        <v>＝</v>
      </c>
      <c r="AB53" s="286">
        <f ca="1">IF($BC$43=1,"",IF(AF46-V51&gt;AF48,AF46-V51,AF48))</f>
        <v>163960</v>
      </c>
      <c r="AC53" s="286"/>
      <c r="AD53" s="286"/>
      <c r="AE53" s="286"/>
      <c r="AF53" s="286"/>
      <c r="AG53" s="286"/>
      <c r="AH53" s="286"/>
      <c r="AI53" s="8" t="str">
        <f>IF(BC43=1,"","上限額①’")</f>
        <v>上限額①’</v>
      </c>
      <c r="AY53" s="101"/>
      <c r="AZ53" s="101"/>
      <c r="BA53" s="101"/>
      <c r="BB53" s="101"/>
      <c r="BL53" s="136"/>
    </row>
    <row r="54" spans="2:71" ht="19.5" hidden="1" customHeight="1" x14ac:dyDescent="0.15">
      <c r="I54" s="32"/>
      <c r="O54" s="111"/>
      <c r="P54" s="111"/>
      <c r="Q54" s="111"/>
      <c r="R54" s="111"/>
      <c r="S54" s="111"/>
      <c r="T54" s="111"/>
      <c r="U54" s="111"/>
      <c r="V54" s="111"/>
      <c r="W54" s="103"/>
      <c r="X54" s="103"/>
      <c r="Y54" s="103"/>
      <c r="Z54" s="103"/>
      <c r="AB54" s="178"/>
      <c r="AC54" s="178"/>
      <c r="AD54" s="8" t="str">
        <f>IF(BC43=1,"","割引きは下限額を限度とします。")</f>
        <v>割引きは下限額を限度とします。</v>
      </c>
      <c r="AE54" s="178"/>
      <c r="AF54" s="178"/>
      <c r="AG54" s="178"/>
      <c r="AH54" s="178"/>
      <c r="AI54" s="8"/>
      <c r="AY54" s="101"/>
      <c r="AZ54" s="101"/>
      <c r="BA54" s="101"/>
      <c r="BB54" s="101"/>
      <c r="BL54" s="136"/>
    </row>
    <row r="55" spans="2:71" ht="19.5" hidden="1" customHeight="1" x14ac:dyDescent="0.15">
      <c r="D55" s="16"/>
      <c r="E55" s="16"/>
      <c r="F55" s="16"/>
      <c r="G55" s="16"/>
      <c r="H55" s="16"/>
      <c r="I55" s="16"/>
      <c r="J55" s="16"/>
      <c r="K55" s="16"/>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33"/>
      <c r="AY55" s="101"/>
      <c r="AZ55" s="101"/>
      <c r="BA55" s="101"/>
      <c r="BB55" s="101"/>
      <c r="BL55" s="136"/>
    </row>
    <row r="56" spans="2:71" ht="21" x14ac:dyDescent="0.15">
      <c r="B56" s="51" t="s">
        <v>40</v>
      </c>
      <c r="E56" s="86" t="s">
        <v>23</v>
      </c>
      <c r="K56" s="8" t="str">
        <f>IF($AQ$33=0,"","深夜早朝時間が発生しています")</f>
        <v>深夜早朝時間が発生しています</v>
      </c>
      <c r="AY56" s="101"/>
      <c r="AZ56" s="101"/>
      <c r="BA56" s="101"/>
      <c r="BB56" s="101"/>
      <c r="BR56" s="31">
        <v>1</v>
      </c>
      <c r="BS56" s="31" t="s">
        <v>77</v>
      </c>
    </row>
    <row r="57" spans="2:71" ht="20.25" customHeight="1" x14ac:dyDescent="0.15">
      <c r="F57" s="9" t="str">
        <f>IF($AQ$33=0,"","上限")</f>
        <v>上限</v>
      </c>
      <c r="G57" s="9"/>
      <c r="H57" s="9"/>
      <c r="I57" s="9"/>
      <c r="J57" s="9" t="str">
        <f>IF($AQ$33=0,"","下限")</f>
        <v>下限</v>
      </c>
      <c r="Z57" s="1"/>
      <c r="AA57" s="1"/>
      <c r="AB57" s="1"/>
      <c r="AC57" s="1"/>
      <c r="AD57" s="1"/>
      <c r="AE57" s="1"/>
      <c r="AF57" s="1"/>
      <c r="AG57" s="1"/>
      <c r="AH57" s="1"/>
      <c r="AI57" s="1"/>
      <c r="AJ57" s="1"/>
      <c r="AK57" s="1"/>
      <c r="AL57" s="1"/>
      <c r="AM57" s="1"/>
      <c r="AN57" s="1"/>
      <c r="AO57" s="1"/>
      <c r="AP57" s="1"/>
      <c r="AQ57" s="1"/>
      <c r="AR57" s="1"/>
      <c r="AS57" s="1"/>
      <c r="AT57" s="1"/>
      <c r="AU57" s="1"/>
      <c r="AV57" s="1"/>
      <c r="AW57" s="144"/>
      <c r="AX57" s="144"/>
      <c r="AY57" s="134"/>
      <c r="AZ57" s="101"/>
      <c r="BA57" s="101"/>
      <c r="BB57" s="101"/>
      <c r="BR57" s="31">
        <v>2</v>
      </c>
      <c r="BS57" s="31" t="s">
        <v>78</v>
      </c>
    </row>
    <row r="58" spans="2:71" ht="18.75" x14ac:dyDescent="0.15">
      <c r="C58" s="5" t="str">
        <f>IF($AQ$33=0,"","割増率")</f>
        <v>割増率</v>
      </c>
      <c r="F58" s="291">
        <v>20</v>
      </c>
      <c r="G58" s="291"/>
      <c r="H58" s="187" t="str">
        <f>IF($AQ$33=0,"","％")</f>
        <v>％</v>
      </c>
      <c r="I58" s="188" t="str">
        <f>IF($AQ$33=0,"","～")</f>
        <v>～</v>
      </c>
      <c r="J58" s="292">
        <v>20</v>
      </c>
      <c r="K58" s="292"/>
      <c r="L58" s="161" t="str">
        <f>IF($AQ$33=0,"","％")</f>
        <v>％</v>
      </c>
      <c r="M58" s="40"/>
      <c r="N58" s="40"/>
      <c r="O58" s="40"/>
      <c r="P58" s="3"/>
      <c r="U58" s="212" t="str">
        <f>IF($AQ$33=0,"","時間単価")</f>
        <v>時間単価</v>
      </c>
      <c r="V58" s="212"/>
      <c r="W58" s="212"/>
      <c r="X58" s="212"/>
      <c r="Y58" s="212" t="str">
        <f>IF($AQ$33=0,"","割増率")</f>
        <v>割増率</v>
      </c>
      <c r="Z58" s="212"/>
      <c r="AA58" s="212"/>
      <c r="AC58" s="212" t="str">
        <f>IF($AQ$33=0,"","深夜早朝時間計")</f>
        <v>深夜早朝時間計</v>
      </c>
      <c r="AD58" s="212"/>
      <c r="AE58" s="212"/>
      <c r="AF58" s="212"/>
      <c r="AG58" s="212"/>
      <c r="AH58" s="212"/>
      <c r="AO58" s="13"/>
      <c r="AP58" s="13"/>
      <c r="AQ58" s="13"/>
      <c r="AR58" s="1"/>
      <c r="AS58" s="1"/>
      <c r="AU58" s="16"/>
      <c r="AV58" s="8"/>
      <c r="AW58" s="31"/>
      <c r="AX58" s="31"/>
      <c r="AY58" s="101"/>
      <c r="AZ58" s="101"/>
      <c r="BA58" s="101"/>
      <c r="BB58" s="101"/>
      <c r="BR58" s="31">
        <v>3</v>
      </c>
      <c r="BS58" s="31" t="s">
        <v>79</v>
      </c>
    </row>
    <row r="59" spans="2:71" ht="18.75" hidden="1" x14ac:dyDescent="0.15">
      <c r="F59" s="181"/>
      <c r="G59" s="181"/>
      <c r="H59" s="189"/>
      <c r="I59" s="190"/>
      <c r="J59" s="181"/>
      <c r="K59" s="181"/>
      <c r="L59" s="161"/>
      <c r="M59" s="40"/>
      <c r="N59" s="40"/>
      <c r="O59" s="40"/>
      <c r="P59" s="3"/>
      <c r="U59" s="103"/>
      <c r="V59" s="103"/>
      <c r="W59" s="103"/>
      <c r="X59" s="103"/>
      <c r="Y59" s="38"/>
      <c r="Z59" s="103"/>
      <c r="AA59" s="103"/>
      <c r="AC59" s="103"/>
      <c r="AD59" s="103"/>
      <c r="AE59" s="103"/>
      <c r="AF59" s="103"/>
      <c r="AG59" s="103"/>
      <c r="AO59" s="13"/>
      <c r="AP59" s="13"/>
      <c r="AQ59" s="13"/>
      <c r="AR59" s="1"/>
      <c r="AS59" s="1"/>
      <c r="AU59" s="16"/>
      <c r="AV59" s="8"/>
      <c r="AW59" s="31"/>
      <c r="AX59" s="31"/>
      <c r="AY59" s="101"/>
      <c r="AZ59" s="101"/>
      <c r="BA59" s="101"/>
      <c r="BB59" s="101"/>
      <c r="BR59" s="31">
        <v>4</v>
      </c>
      <c r="BS59" s="31" t="s">
        <v>80</v>
      </c>
    </row>
    <row r="60" spans="2:71" ht="18.75" hidden="1" x14ac:dyDescent="0.15">
      <c r="C60" s="5" t="str">
        <f>IF($AQ$33=0,"","[上限20％]")</f>
        <v>[上限20％]</v>
      </c>
      <c r="F60" s="152"/>
      <c r="G60" s="152"/>
      <c r="I60" s="52"/>
      <c r="J60" s="191"/>
      <c r="K60" s="40"/>
      <c r="L60" s="40"/>
      <c r="M60" s="40"/>
      <c r="N60" s="40"/>
      <c r="O60" s="40"/>
      <c r="P60" s="3"/>
      <c r="U60" s="103"/>
      <c r="V60" s="103"/>
      <c r="W60" s="103"/>
      <c r="X60" s="103"/>
      <c r="Y60" s="38"/>
      <c r="Z60" s="103"/>
      <c r="AA60" s="103"/>
      <c r="AC60" s="103"/>
      <c r="AD60" s="103"/>
      <c r="AE60" s="103"/>
      <c r="AF60" s="103"/>
      <c r="AG60" s="103"/>
      <c r="AO60" s="13"/>
      <c r="AP60" s="13"/>
      <c r="AQ60" s="13"/>
      <c r="AR60" s="1"/>
      <c r="AS60" s="1"/>
      <c r="AU60" s="16"/>
      <c r="AV60" s="8"/>
      <c r="AW60" s="31"/>
      <c r="AX60" s="31"/>
      <c r="AY60" s="101"/>
      <c r="AZ60" s="101"/>
      <c r="BA60" s="101"/>
      <c r="BB60" s="101"/>
      <c r="BR60" s="31">
        <v>5</v>
      </c>
      <c r="BS60" s="31" t="s">
        <v>81</v>
      </c>
    </row>
    <row r="61" spans="2:71" ht="18.75" hidden="1" x14ac:dyDescent="0.15">
      <c r="J61" s="106" t="str">
        <f>IF($AQ$33=0,"","(運    賃)")</f>
        <v>(運    賃)</v>
      </c>
      <c r="K61" s="16"/>
      <c r="L61" s="16"/>
      <c r="M61" s="21" t="str">
        <f>IF($AQ$33=0,"","（上限額)")</f>
        <v>（上限額)</v>
      </c>
      <c r="Q61" s="16"/>
      <c r="R61" s="16"/>
      <c r="S61" s="16"/>
      <c r="T61" s="16"/>
      <c r="U61" s="222">
        <f ca="1">IF($AQ$33=0,"",N11)</f>
        <v>0</v>
      </c>
      <c r="V61" s="222"/>
      <c r="W61" s="222"/>
      <c r="X61" s="222"/>
      <c r="Y61" s="38" t="str">
        <f>IF($AQ$33=0,"","×")</f>
        <v>×</v>
      </c>
      <c r="Z61" s="233">
        <f>IF($AQ$33=0,"",IF(F58="","",+$F$58/100))</f>
        <v>0.2</v>
      </c>
      <c r="AA61" s="233"/>
      <c r="AB61" s="38" t="str">
        <f>IF($AQ$33=0,"","×")</f>
        <v>×</v>
      </c>
      <c r="AC61" s="229">
        <f>IF($AQ$33=0,"",$AQ$33)</f>
        <v>2</v>
      </c>
      <c r="AD61" s="229"/>
      <c r="AE61" s="229"/>
      <c r="AF61" s="229"/>
      <c r="AG61" s="229"/>
      <c r="AH61" s="38" t="str">
        <f>IF($AQ$33=0,"","＝")</f>
        <v>＝</v>
      </c>
      <c r="AI61" s="294">
        <f ca="1">IF($AQ$33=0,"",IF(F58="","",ROUND(U61*Z61*AC61,0)))</f>
        <v>0</v>
      </c>
      <c r="AJ61" s="294"/>
      <c r="AK61" s="294"/>
      <c r="AL61" s="294"/>
      <c r="AM61" s="294"/>
      <c r="AQ61" s="132"/>
      <c r="AR61" s="132"/>
      <c r="AS61" s="132"/>
      <c r="AT61" s="16"/>
      <c r="AU61" s="16"/>
      <c r="AV61" s="8"/>
      <c r="AW61" s="31"/>
      <c r="AX61" s="31"/>
      <c r="AY61" s="101"/>
      <c r="AZ61" s="101"/>
      <c r="BA61" s="101"/>
      <c r="BB61" s="101"/>
      <c r="BR61" s="31">
        <v>6</v>
      </c>
      <c r="BS61" s="31" t="s">
        <v>82</v>
      </c>
    </row>
    <row r="62" spans="2:71" ht="18.75" hidden="1" x14ac:dyDescent="0.15">
      <c r="B62" s="16"/>
      <c r="C62" s="106"/>
      <c r="J62" s="106" t="str">
        <f>IF($AQ$33=0,"",IF($BA$91=FALSE,"","(交替運転者配置料金)"))</f>
        <v/>
      </c>
      <c r="K62" s="116"/>
      <c r="L62" s="16"/>
      <c r="M62" s="21" t="str">
        <f>IF($AQ$33=0,"",IF($BA$91=FALSE,"","(上限額)"))</f>
        <v/>
      </c>
      <c r="N62" s="16"/>
      <c r="O62" s="103"/>
      <c r="P62" s="103"/>
      <c r="Q62" s="16"/>
      <c r="R62" s="16"/>
      <c r="S62" s="16"/>
      <c r="T62" s="16"/>
      <c r="U62" s="222" t="str">
        <f>IF($AQ$33=0,"",IF($BA$91=FALSE,"",J90))</f>
        <v/>
      </c>
      <c r="V62" s="222"/>
      <c r="W62" s="222"/>
      <c r="X62" s="222"/>
      <c r="Y62" s="38" t="str">
        <f>IF($AQ$33=0,"",IF($BA$91=FALSE,"","×"))</f>
        <v/>
      </c>
      <c r="Z62" s="233" t="str">
        <f>IF($AQ$33=0,"",IF(BA91=FALSE,"",IF(F58="","",$F$58/100)))</f>
        <v/>
      </c>
      <c r="AA62" s="233"/>
      <c r="AB62" s="38" t="str">
        <f>IF($AQ$33=0,"",IF($BA$91=FALSE,"","×"))</f>
        <v/>
      </c>
      <c r="AC62" s="229" t="str">
        <f>IF($AQ$33=0,"",IF($BA$91=FALSE,"",$AQ$33))</f>
        <v/>
      </c>
      <c r="AD62" s="229"/>
      <c r="AE62" s="229"/>
      <c r="AF62" s="229"/>
      <c r="AG62" s="229"/>
      <c r="AH62" s="38" t="str">
        <f>IF($AQ$33=0,"",IF($BA$91=FALSE,"","＝"))</f>
        <v/>
      </c>
      <c r="AI62" s="294" t="str">
        <f>IF($AQ$33=0,"",IF($BA$91=FALSE,"",IF(F58="","",ROUND(U62*Z62*AC62,0))))</f>
        <v/>
      </c>
      <c r="AJ62" s="294"/>
      <c r="AK62" s="294"/>
      <c r="AL62" s="294"/>
      <c r="AM62" s="294"/>
      <c r="AN62" s="6" t="str">
        <f>IF($AQ$33=0,"",IF($G$90=FALSE,"","計"))</f>
        <v>計</v>
      </c>
      <c r="AO62" s="232">
        <f ca="1">IF($AQ$33=0,"",IF(BA91=TRUE,AI61+AI62,AI61))</f>
        <v>0</v>
      </c>
      <c r="AP62" s="232"/>
      <c r="AQ62" s="232"/>
      <c r="AR62" s="232"/>
      <c r="AS62" s="232"/>
      <c r="AT62" s="192" t="str">
        <f>IF($AQ$33=0,"","上限額③")</f>
        <v>上限額③</v>
      </c>
      <c r="AU62" s="16"/>
      <c r="AV62" s="8"/>
      <c r="AW62" s="31"/>
      <c r="AX62" s="31"/>
      <c r="AY62" s="101"/>
      <c r="AZ62" s="101"/>
      <c r="BA62" s="101"/>
      <c r="BB62" s="101"/>
      <c r="BR62" s="31">
        <v>7</v>
      </c>
      <c r="BS62" s="31" t="s">
        <v>83</v>
      </c>
    </row>
    <row r="63" spans="2:71" ht="18.75" hidden="1" x14ac:dyDescent="0.15">
      <c r="B63" s="16"/>
      <c r="C63" s="106"/>
      <c r="J63" s="106"/>
      <c r="K63" s="116"/>
      <c r="L63" s="16"/>
      <c r="M63" s="21"/>
      <c r="N63" s="16"/>
      <c r="O63" s="103"/>
      <c r="P63" s="103"/>
      <c r="Q63" s="16"/>
      <c r="R63" s="16"/>
      <c r="S63" s="16"/>
      <c r="T63" s="16"/>
      <c r="U63" s="109"/>
      <c r="V63" s="109"/>
      <c r="W63" s="109"/>
      <c r="X63" s="109"/>
      <c r="Y63" s="38"/>
      <c r="Z63" s="110"/>
      <c r="AA63" s="110"/>
      <c r="AB63" s="38"/>
      <c r="AC63" s="112"/>
      <c r="AD63" s="112"/>
      <c r="AE63" s="112"/>
      <c r="AF63" s="112"/>
      <c r="AG63" s="112"/>
      <c r="AH63" s="38"/>
      <c r="AI63" s="185"/>
      <c r="AJ63" s="185"/>
      <c r="AK63" s="185"/>
      <c r="AL63" s="185"/>
      <c r="AM63" s="185"/>
      <c r="AN63" s="6"/>
      <c r="AO63" s="150"/>
      <c r="AP63" s="150"/>
      <c r="AQ63" s="150"/>
      <c r="AR63" s="150"/>
      <c r="AS63" s="150"/>
      <c r="AT63" s="192"/>
      <c r="AU63" s="16"/>
      <c r="AV63" s="8"/>
      <c r="AW63" s="31"/>
      <c r="AX63" s="31"/>
      <c r="AY63" s="101"/>
      <c r="AZ63" s="101"/>
      <c r="BA63" s="101"/>
      <c r="BB63" s="101"/>
      <c r="BR63" s="31">
        <v>8</v>
      </c>
      <c r="BS63" s="31" t="s">
        <v>84</v>
      </c>
    </row>
    <row r="64" spans="2:71" ht="18.75" hidden="1" x14ac:dyDescent="0.15">
      <c r="J64" s="106" t="str">
        <f>IF($AQ$33=0,"","(運    賃)")</f>
        <v>(運    賃)</v>
      </c>
      <c r="K64" s="16"/>
      <c r="L64" s="16"/>
      <c r="M64" s="21" t="str">
        <f>IF($AQ$33=0,"","(下限額)")</f>
        <v>(下限額)</v>
      </c>
      <c r="N64" s="16"/>
      <c r="Q64" s="16"/>
      <c r="R64" s="16"/>
      <c r="S64" s="16"/>
      <c r="T64" s="16"/>
      <c r="U64" s="222">
        <f ca="1">IF($AQ$33=0,"",S11)</f>
        <v>6580</v>
      </c>
      <c r="V64" s="222"/>
      <c r="W64" s="222"/>
      <c r="X64" s="222"/>
      <c r="Y64" s="38" t="str">
        <f>IF($AQ$33=0,"","×")</f>
        <v>×</v>
      </c>
      <c r="Z64" s="233">
        <f>IF($AQ$33=0,"",IF(F58="","",+$F$58/100))</f>
        <v>0.2</v>
      </c>
      <c r="AA64" s="233"/>
      <c r="AB64" s="38" t="str">
        <f>IF($AQ$33=0,"","×")</f>
        <v>×</v>
      </c>
      <c r="AC64" s="229">
        <f>IF($AQ$33=0,"",$AQ$33)</f>
        <v>2</v>
      </c>
      <c r="AD64" s="229"/>
      <c r="AE64" s="229"/>
      <c r="AF64" s="229"/>
      <c r="AG64" s="229"/>
      <c r="AH64" s="38" t="str">
        <f>IF($AQ$33=0,"","＝")</f>
        <v>＝</v>
      </c>
      <c r="AI64" s="294">
        <f ca="1">IF($AQ$33=0,"",IF(F58="","",ROUND(U64*Z64*AC64,0)))</f>
        <v>2632</v>
      </c>
      <c r="AJ64" s="294"/>
      <c r="AK64" s="294"/>
      <c r="AL64" s="294"/>
      <c r="AM64" s="294"/>
      <c r="AQ64" s="132"/>
      <c r="AR64" s="132"/>
      <c r="AS64" s="132"/>
      <c r="AT64" s="16"/>
      <c r="AU64" s="16"/>
      <c r="AV64" s="8"/>
      <c r="AW64" s="31"/>
      <c r="AX64" s="31"/>
      <c r="AY64" s="101"/>
      <c r="AZ64" s="101"/>
      <c r="BA64" s="101"/>
      <c r="BB64" s="101"/>
      <c r="BR64" s="31">
        <v>9</v>
      </c>
      <c r="BS64" s="31" t="s">
        <v>85</v>
      </c>
    </row>
    <row r="65" spans="2:71" ht="18.75" hidden="1" x14ac:dyDescent="0.15">
      <c r="B65" s="16"/>
      <c r="C65" s="106"/>
      <c r="J65" s="106" t="str">
        <f>IF($AQ$33=0,"",IF($BA$91=FALSE,"","(交替運転者配置料金)"))</f>
        <v/>
      </c>
      <c r="K65" s="116"/>
      <c r="L65" s="16"/>
      <c r="M65" s="21" t="str">
        <f>IF($AQ$33=0,"",IF($BA$91=FALSE,"","(下限額)"))</f>
        <v/>
      </c>
      <c r="O65" s="103"/>
      <c r="P65" s="103"/>
      <c r="Q65" s="16"/>
      <c r="R65" s="16"/>
      <c r="S65" s="16"/>
      <c r="T65" s="16"/>
      <c r="U65" s="222" t="str">
        <f>IF($AQ$33=0,"",IF($BA$91=FALSE,"",N90))</f>
        <v/>
      </c>
      <c r="V65" s="222"/>
      <c r="W65" s="222"/>
      <c r="X65" s="222"/>
      <c r="Y65" s="38" t="str">
        <f>IF($AQ$33=0,"",IF($BA$91=FALSE,"","×"))</f>
        <v/>
      </c>
      <c r="Z65" s="231" t="str">
        <f>IF($AQ$33=0,"",IF(BA91=FALSE,"",IF(F58="","",$F$58/100)))</f>
        <v/>
      </c>
      <c r="AA65" s="231"/>
      <c r="AB65" s="38" t="str">
        <f>IF($AQ$33=0,"",IF($BA$91=FALSE,"","×"))</f>
        <v/>
      </c>
      <c r="AC65" s="229" t="str">
        <f>IF($AQ$33=0,"",IF($BA$91=FALSE,"",$AQ$33))</f>
        <v/>
      </c>
      <c r="AD65" s="229"/>
      <c r="AE65" s="229"/>
      <c r="AF65" s="229"/>
      <c r="AG65" s="229"/>
      <c r="AH65" s="38" t="str">
        <f>IF($AQ$33=0,"",IF($BA$91=FALSE,"","＝"))</f>
        <v/>
      </c>
      <c r="AI65" s="294" t="str">
        <f>IF($AQ$33=0,"",IF($BA$91=FALSE,"",IF(F58="","",ROUND(U65*Z65*AC65,0))))</f>
        <v/>
      </c>
      <c r="AJ65" s="294"/>
      <c r="AK65" s="294"/>
      <c r="AL65" s="294"/>
      <c r="AM65" s="294"/>
      <c r="AN65" s="6" t="str">
        <f>IF($AQ$33=0,"",IF($G$90=FALSE,"","計"))</f>
        <v>計</v>
      </c>
      <c r="AO65" s="232">
        <f ca="1">IF($AQ$33=0,"",IF(BA91=TRUE,AI64+AI65,AI64))</f>
        <v>2632</v>
      </c>
      <c r="AP65" s="232"/>
      <c r="AQ65" s="232"/>
      <c r="AR65" s="232"/>
      <c r="AS65" s="232"/>
      <c r="AT65" s="113" t="str">
        <f>IF($AQ$33=0,"","下限額④")</f>
        <v>下限額④</v>
      </c>
      <c r="AU65" s="16"/>
      <c r="AV65" s="8"/>
      <c r="AW65" s="31"/>
      <c r="AX65" s="31"/>
      <c r="AY65" s="101"/>
      <c r="AZ65" s="101"/>
      <c r="BA65" s="101"/>
      <c r="BB65" s="101"/>
      <c r="BR65" s="31">
        <v>10</v>
      </c>
      <c r="BS65" s="31" t="s">
        <v>86</v>
      </c>
    </row>
    <row r="66" spans="2:71" ht="13.5" hidden="1" customHeight="1" x14ac:dyDescent="0.15">
      <c r="B66" s="16"/>
      <c r="C66" s="106"/>
      <c r="J66" s="106"/>
      <c r="K66" s="116"/>
      <c r="L66" s="16"/>
      <c r="M66" s="21"/>
      <c r="O66" s="103"/>
      <c r="P66" s="103"/>
      <c r="Q66" s="16"/>
      <c r="R66" s="16"/>
      <c r="S66" s="16"/>
      <c r="T66" s="16"/>
      <c r="U66" s="109"/>
      <c r="V66" s="109"/>
      <c r="W66" s="109"/>
      <c r="X66" s="109"/>
      <c r="Y66" s="38"/>
      <c r="Z66" s="174"/>
      <c r="AA66" s="174"/>
      <c r="AB66" s="38"/>
      <c r="AC66" s="112"/>
      <c r="AD66" s="112"/>
      <c r="AE66" s="112"/>
      <c r="AF66" s="112"/>
      <c r="AG66" s="112"/>
      <c r="AH66" s="38"/>
      <c r="AI66" s="185"/>
      <c r="AJ66" s="185"/>
      <c r="AK66" s="185"/>
      <c r="AL66" s="185"/>
      <c r="AM66" s="185"/>
      <c r="AN66" s="6"/>
      <c r="AO66" s="150"/>
      <c r="AP66" s="150"/>
      <c r="AQ66" s="150"/>
      <c r="AR66" s="150"/>
      <c r="AS66" s="150"/>
      <c r="AT66" s="113"/>
      <c r="AU66" s="16"/>
      <c r="AV66" s="8"/>
      <c r="AW66" s="31"/>
      <c r="AX66" s="31"/>
      <c r="AY66" s="101"/>
      <c r="AZ66" s="101"/>
      <c r="BA66" s="101"/>
      <c r="BB66" s="101"/>
    </row>
    <row r="67" spans="2:71" ht="18.75" hidden="1" x14ac:dyDescent="0.15">
      <c r="B67" s="16"/>
      <c r="C67" s="193" t="str">
        <f>IF($AQ$33=0,"","[20％]")</f>
        <v>[20％]</v>
      </c>
      <c r="J67" s="106"/>
      <c r="K67" s="116"/>
      <c r="L67" s="16"/>
      <c r="M67" s="21"/>
      <c r="O67" s="103"/>
      <c r="P67" s="103"/>
      <c r="Q67" s="16"/>
      <c r="R67" s="16"/>
      <c r="S67" s="16"/>
      <c r="T67" s="16"/>
      <c r="U67" s="109"/>
      <c r="V67" s="109"/>
      <c r="W67" s="109"/>
      <c r="X67" s="109"/>
      <c r="Y67" s="38"/>
      <c r="Z67" s="174"/>
      <c r="AA67" s="174"/>
      <c r="AB67" s="38"/>
      <c r="AC67" s="112"/>
      <c r="AD67" s="112"/>
      <c r="AE67" s="112"/>
      <c r="AF67" s="112"/>
      <c r="AG67" s="112"/>
      <c r="AH67" s="38"/>
      <c r="AI67" s="185"/>
      <c r="AJ67" s="185"/>
      <c r="AK67" s="185"/>
      <c r="AL67" s="185"/>
      <c r="AM67" s="185"/>
      <c r="AN67" s="6"/>
      <c r="AO67" s="150"/>
      <c r="AP67" s="150"/>
      <c r="AQ67" s="150"/>
      <c r="AR67" s="150"/>
      <c r="AS67" s="150"/>
      <c r="AT67" s="113"/>
      <c r="AU67" s="16"/>
      <c r="AV67" s="8"/>
      <c r="AW67" s="31"/>
      <c r="AX67" s="31"/>
      <c r="AY67" s="101"/>
      <c r="AZ67" s="101"/>
      <c r="BA67" s="101"/>
      <c r="BB67" s="101"/>
    </row>
    <row r="68" spans="2:71" ht="20.25" hidden="1" customHeight="1" x14ac:dyDescent="0.15">
      <c r="B68" s="16"/>
      <c r="J68" s="106" t="str">
        <f>IF($AQ$33=0,"","(運    賃)")</f>
        <v>(運    賃)</v>
      </c>
      <c r="K68" s="16"/>
      <c r="L68" s="16"/>
      <c r="M68" s="21" t="str">
        <f>IF($AQ$33=0,"","（上限額)")</f>
        <v>（上限額)</v>
      </c>
      <c r="Q68" s="16"/>
      <c r="R68" s="16"/>
      <c r="S68" s="16"/>
      <c r="T68" s="16"/>
      <c r="U68" s="222">
        <f ca="1">IF($AQ$33=0,"",N11)</f>
        <v>0</v>
      </c>
      <c r="V68" s="222"/>
      <c r="W68" s="222"/>
      <c r="X68" s="222"/>
      <c r="Y68" s="38" t="str">
        <f>IF($AQ$33=0,"","×")</f>
        <v>×</v>
      </c>
      <c r="Z68" s="233">
        <f>IF($AQ$33=0,"",IF(J58="","",+$J$58/100))</f>
        <v>0.2</v>
      </c>
      <c r="AA68" s="233"/>
      <c r="AB68" s="38" t="str">
        <f>IF($AQ$33=0,"","×")</f>
        <v>×</v>
      </c>
      <c r="AC68" s="229">
        <f>IF($AQ$33=0,"",$AQ$33)</f>
        <v>2</v>
      </c>
      <c r="AD68" s="229"/>
      <c r="AE68" s="229"/>
      <c r="AF68" s="229"/>
      <c r="AG68" s="229"/>
      <c r="AH68" s="38" t="str">
        <f>IF($AQ$33=0,"","＝")</f>
        <v>＝</v>
      </c>
      <c r="AI68" s="294">
        <f ca="1">IF($AQ$33=0,"",IF(J58="","",ROUND(U68*Z68*AC68,0)))</f>
        <v>0</v>
      </c>
      <c r="AJ68" s="294"/>
      <c r="AK68" s="294"/>
      <c r="AL68" s="294"/>
      <c r="AM68" s="294"/>
      <c r="AQ68" s="132"/>
      <c r="AR68" s="132"/>
      <c r="AS68" s="132"/>
      <c r="AT68" s="16"/>
      <c r="AU68" s="16"/>
      <c r="AV68" s="8"/>
      <c r="AW68" s="31"/>
      <c r="AX68" s="31"/>
      <c r="AY68" s="101"/>
      <c r="AZ68" s="101"/>
      <c r="BA68" s="101"/>
      <c r="BB68" s="101"/>
    </row>
    <row r="69" spans="2:71" ht="25.5" hidden="1" customHeight="1" x14ac:dyDescent="0.15">
      <c r="B69" s="16"/>
      <c r="C69" s="106"/>
      <c r="J69" s="106" t="str">
        <f>IF($AQ$33=0,"",IF($BA$91=FALSE,"","(交替運転者配置料金)"))</f>
        <v/>
      </c>
      <c r="K69" s="116"/>
      <c r="L69" s="16"/>
      <c r="M69" s="21" t="str">
        <f>IF($AQ$33=0,"",IF($BA$91=FALSE,"","(上限額)"))</f>
        <v/>
      </c>
      <c r="N69" s="16"/>
      <c r="O69" s="103"/>
      <c r="P69" s="103"/>
      <c r="Q69" s="16"/>
      <c r="R69" s="16"/>
      <c r="S69" s="16"/>
      <c r="T69" s="16"/>
      <c r="U69" s="222" t="str">
        <f>IF($AQ$33=0,"",IF($BA$91=FALSE,"",J90))</f>
        <v/>
      </c>
      <c r="V69" s="222"/>
      <c r="W69" s="222"/>
      <c r="X69" s="222"/>
      <c r="Y69" s="38" t="str">
        <f>IF($AQ$33=0,"",IF($BA$91=FALSE,"","×"))</f>
        <v/>
      </c>
      <c r="Z69" s="233" t="str">
        <f>IF($AQ$33=0,"",IF(BA91=FALSE,"",IF(J58="","",$J$58/100)))</f>
        <v/>
      </c>
      <c r="AA69" s="233"/>
      <c r="AB69" s="38" t="str">
        <f>IF($AQ$33=0,"",IF($BA$91=FALSE,"","×"))</f>
        <v/>
      </c>
      <c r="AC69" s="229" t="str">
        <f>IF($AQ$33=0,"",IF($BA$91=FALSE,"",$AQ$33))</f>
        <v/>
      </c>
      <c r="AD69" s="229"/>
      <c r="AE69" s="229"/>
      <c r="AF69" s="229"/>
      <c r="AG69" s="229"/>
      <c r="AH69" s="38" t="str">
        <f>IF($AQ$33=0,"",IF($BA$91=FALSE,"","＝"))</f>
        <v/>
      </c>
      <c r="AI69" s="294" t="str">
        <f>IF($AQ$33=0,"",IF($BA$91=FALSE,"",IF(J58="","",ROUND(U69*Z69*AC69,0))))</f>
        <v/>
      </c>
      <c r="AJ69" s="294"/>
      <c r="AK69" s="294"/>
      <c r="AL69" s="294"/>
      <c r="AM69" s="294"/>
      <c r="AN69" s="6" t="str">
        <f>IF($AQ$33=0,"",IF($G$90=FALSE,"","計"))</f>
        <v>計</v>
      </c>
      <c r="AO69" s="232">
        <f ca="1">IF($AQ$33=0,"",IF(BA91=TRUE,AI68+AI69,AI68))</f>
        <v>0</v>
      </c>
      <c r="AP69" s="232"/>
      <c r="AQ69" s="232"/>
      <c r="AR69" s="232"/>
      <c r="AS69" s="232"/>
      <c r="AT69" s="192" t="str">
        <f>IF($AQ$33=0,"","上限額③'")</f>
        <v>上限額③'</v>
      </c>
      <c r="AU69" s="16"/>
      <c r="AV69" s="8"/>
      <c r="AW69" s="31"/>
      <c r="AX69" s="31"/>
      <c r="AY69" s="101"/>
      <c r="AZ69" s="101"/>
      <c r="BA69" s="101"/>
      <c r="BB69" s="101"/>
    </row>
    <row r="70" spans="2:71" ht="25.5" hidden="1" customHeight="1" x14ac:dyDescent="0.15">
      <c r="B70" s="16"/>
      <c r="C70" s="106"/>
      <c r="J70" s="106"/>
      <c r="K70" s="116"/>
      <c r="L70" s="16"/>
      <c r="M70" s="21"/>
      <c r="N70" s="16"/>
      <c r="O70" s="103"/>
      <c r="P70" s="103"/>
      <c r="Q70" s="16"/>
      <c r="R70" s="16"/>
      <c r="S70" s="16"/>
      <c r="T70" s="16"/>
      <c r="U70" s="109"/>
      <c r="V70" s="109"/>
      <c r="W70" s="109"/>
      <c r="X70" s="109"/>
      <c r="Y70" s="38"/>
      <c r="Z70" s="110"/>
      <c r="AA70" s="110"/>
      <c r="AB70" s="38"/>
      <c r="AC70" s="112"/>
      <c r="AD70" s="112"/>
      <c r="AE70" s="112"/>
      <c r="AF70" s="112"/>
      <c r="AG70" s="112"/>
      <c r="AH70" s="38"/>
      <c r="AI70" s="185"/>
      <c r="AJ70" s="185"/>
      <c r="AK70" s="185"/>
      <c r="AL70" s="185"/>
      <c r="AM70" s="185"/>
      <c r="AN70" s="6"/>
      <c r="AO70" s="150"/>
      <c r="AP70" s="150"/>
      <c r="AQ70" s="150"/>
      <c r="AR70" s="150"/>
      <c r="AS70" s="150"/>
      <c r="AT70" s="192"/>
      <c r="AU70" s="16"/>
      <c r="AV70" s="8"/>
      <c r="AW70" s="31"/>
      <c r="AX70" s="31"/>
      <c r="AY70" s="101"/>
      <c r="AZ70" s="101"/>
      <c r="BA70" s="101"/>
      <c r="BB70" s="101"/>
    </row>
    <row r="71" spans="2:71" ht="14.25" customHeight="1" x14ac:dyDescent="0.15">
      <c r="B71" s="16"/>
      <c r="J71" s="106" t="str">
        <f>IF($AQ$33=0,"","(運    賃)")</f>
        <v>(運    賃)</v>
      </c>
      <c r="K71" s="16"/>
      <c r="L71" s="16"/>
      <c r="M71" s="21" t="str">
        <f>IF($AQ$33=0,"","(下限額)")</f>
        <v>(下限額)</v>
      </c>
      <c r="N71" s="16"/>
      <c r="Q71" s="16"/>
      <c r="R71" s="16"/>
      <c r="S71" s="16"/>
      <c r="T71" s="16"/>
      <c r="U71" s="222">
        <f ca="1">IF($AQ$33=0,"",S11)</f>
        <v>6580</v>
      </c>
      <c r="V71" s="222"/>
      <c r="W71" s="222"/>
      <c r="X71" s="222"/>
      <c r="Y71" s="38" t="str">
        <f>IF($AQ$33=0,"","×")</f>
        <v>×</v>
      </c>
      <c r="Z71" s="233">
        <f>IF($AQ$33=0,"",IF(J58="","",+$J$58/100))</f>
        <v>0.2</v>
      </c>
      <c r="AA71" s="233"/>
      <c r="AB71" s="38" t="str">
        <f>IF($AQ$33=0,"","×")</f>
        <v>×</v>
      </c>
      <c r="AC71" s="229">
        <f>IF($AQ$33=0,"",$AQ$33)</f>
        <v>2</v>
      </c>
      <c r="AD71" s="229"/>
      <c r="AE71" s="229"/>
      <c r="AF71" s="229"/>
      <c r="AG71" s="229"/>
      <c r="AH71" s="38" t="str">
        <f>IF($AQ$33=0,"","＝")</f>
        <v>＝</v>
      </c>
      <c r="AI71" s="294">
        <f ca="1">IF($AQ$33=0,"",IF(J61="","",ROUND(U71*Z71*AC71,0)))</f>
        <v>2632</v>
      </c>
      <c r="AJ71" s="294"/>
      <c r="AK71" s="294"/>
      <c r="AL71" s="294"/>
      <c r="AM71" s="294"/>
      <c r="AQ71" s="132"/>
      <c r="AR71" s="132"/>
      <c r="AS71" s="132"/>
      <c r="AT71" s="16"/>
      <c r="AU71" s="16"/>
      <c r="AV71" s="8"/>
      <c r="AW71" s="31"/>
      <c r="AX71" s="31"/>
      <c r="AY71" s="101"/>
      <c r="AZ71" s="101"/>
      <c r="BA71" s="101"/>
      <c r="BB71" s="101"/>
    </row>
    <row r="72" spans="2:71" ht="18.75" x14ac:dyDescent="0.15">
      <c r="C72" s="106"/>
      <c r="J72" s="106" t="str">
        <f>IF($AQ$33=0,"",IF($BA$91=FALSE,"","(交替運転者配置料金)"))</f>
        <v/>
      </c>
      <c r="K72" s="116"/>
      <c r="L72" s="16"/>
      <c r="M72" s="21" t="str">
        <f>IF($AQ$33=0,"",IF($BA$91=FALSE,"","(下限額)"))</f>
        <v/>
      </c>
      <c r="O72" s="103"/>
      <c r="P72" s="103"/>
      <c r="Q72" s="16"/>
      <c r="R72" s="16"/>
      <c r="S72" s="16"/>
      <c r="T72" s="16"/>
      <c r="U72" s="222" t="str">
        <f>IF($AQ$33=0,"",IF($BA$91=FALSE,"",N90))</f>
        <v/>
      </c>
      <c r="V72" s="222"/>
      <c r="W72" s="222"/>
      <c r="X72" s="222"/>
      <c r="Y72" s="38" t="str">
        <f>IF($AQ$33=0,"",IF($BA$91=FALSE,"","×"))</f>
        <v/>
      </c>
      <c r="Z72" s="231" t="str">
        <f>IF($AQ$33=0,"",IF(BA91=FALSE,"",IF(J58="","",$J$58/100)))</f>
        <v/>
      </c>
      <c r="AA72" s="231"/>
      <c r="AB72" s="38" t="str">
        <f>IF($AQ$33=0,"",IF($BA$91=FALSE,"","×"))</f>
        <v/>
      </c>
      <c r="AC72" s="229" t="str">
        <f>IF($AQ$33=0,"",IF($BA$91=FALSE,"",$AQ$33))</f>
        <v/>
      </c>
      <c r="AD72" s="229"/>
      <c r="AE72" s="229"/>
      <c r="AF72" s="229"/>
      <c r="AG72" s="229"/>
      <c r="AH72" s="38" t="str">
        <f>IF($AQ$33=0,"",IF($BA$91=FALSE,"","＝"))</f>
        <v/>
      </c>
      <c r="AI72" s="294" t="str">
        <f>IF($AQ$33=0,"",IF($BA$91=FALSE,"",IF(J58="","",ROUND(U72*Z72*AC72,0))))</f>
        <v/>
      </c>
      <c r="AJ72" s="294"/>
      <c r="AK72" s="294"/>
      <c r="AL72" s="294"/>
      <c r="AM72" s="294"/>
      <c r="AN72" s="6" t="str">
        <f>IF($AQ$33=0,"",IF($G$90=FALSE,"","計"))</f>
        <v>計</v>
      </c>
      <c r="AO72" s="232">
        <f ca="1">IF($AQ$33=0,"",IF(BA91=TRUE,AI71+AI72,AI71))</f>
        <v>2632</v>
      </c>
      <c r="AP72" s="232"/>
      <c r="AQ72" s="232"/>
      <c r="AR72" s="232"/>
      <c r="AS72" s="232"/>
      <c r="AT72" s="113" t="s">
        <v>131</v>
      </c>
      <c r="AU72" s="16"/>
      <c r="AV72" s="8"/>
      <c r="AW72" s="194"/>
      <c r="AX72" s="194"/>
      <c r="AY72" s="101"/>
      <c r="AZ72" s="101"/>
      <c r="BA72" s="101"/>
      <c r="BB72" s="101"/>
    </row>
    <row r="73" spans="2:71" ht="18.75" x14ac:dyDescent="0.15">
      <c r="C73" s="106"/>
      <c r="J73" s="106"/>
      <c r="K73" s="116"/>
      <c r="L73" s="16"/>
      <c r="M73" s="21"/>
      <c r="O73" s="103"/>
      <c r="P73" s="103"/>
      <c r="Q73" s="16"/>
      <c r="R73" s="16"/>
      <c r="S73" s="16"/>
      <c r="T73" s="16"/>
      <c r="U73" s="109"/>
      <c r="V73" s="109"/>
      <c r="W73" s="109"/>
      <c r="X73" s="109"/>
      <c r="Y73" s="38"/>
      <c r="Z73" s="174"/>
      <c r="AA73" s="174"/>
      <c r="AB73" s="38"/>
      <c r="AC73" s="112"/>
      <c r="AD73" s="112"/>
      <c r="AE73" s="112"/>
      <c r="AF73" s="112"/>
      <c r="AG73" s="112"/>
      <c r="AH73" s="38"/>
      <c r="AI73" s="185"/>
      <c r="AJ73" s="185"/>
      <c r="AK73" s="185"/>
      <c r="AL73" s="185"/>
      <c r="AM73" s="185"/>
      <c r="AN73" s="6"/>
      <c r="AO73" s="150"/>
      <c r="AP73" s="150"/>
      <c r="AQ73" s="150"/>
      <c r="AR73" s="150"/>
      <c r="AS73" s="150"/>
      <c r="AT73" s="113"/>
      <c r="AU73" s="16"/>
      <c r="AV73" s="8"/>
      <c r="AW73" s="144"/>
      <c r="AX73" s="144"/>
      <c r="AY73" s="101"/>
      <c r="AZ73" s="101"/>
      <c r="BA73" s="101"/>
      <c r="BB73" s="101"/>
    </row>
    <row r="74" spans="2:71" ht="18.75" x14ac:dyDescent="0.15">
      <c r="C74" s="8"/>
      <c r="E74" s="86" t="s">
        <v>24</v>
      </c>
      <c r="K74" s="3"/>
      <c r="AI74" s="3"/>
      <c r="AJ74" s="3"/>
      <c r="AY74" s="101"/>
      <c r="AZ74" s="101"/>
      <c r="BA74" s="101"/>
      <c r="BB74" s="101"/>
    </row>
    <row r="75" spans="2:71" ht="25.5" customHeight="1" thickBot="1" x14ac:dyDescent="0.2">
      <c r="C75" s="8"/>
      <c r="D75" s="58" t="s">
        <v>110</v>
      </c>
      <c r="AJ75" s="3"/>
      <c r="AY75" s="101"/>
      <c r="AZ75" s="101"/>
      <c r="BA75" s="101"/>
      <c r="BB75" s="101"/>
    </row>
    <row r="76" spans="2:71" ht="25.5" hidden="1" customHeight="1" thickBot="1" x14ac:dyDescent="0.2">
      <c r="C76" s="8"/>
      <c r="D76" s="58"/>
      <c r="M76" s="9" t="str">
        <f>IF(BA78=FALSE,"","上限")</f>
        <v/>
      </c>
      <c r="N76" s="9"/>
      <c r="O76" s="9"/>
      <c r="P76" s="9"/>
      <c r="Q76" s="5" t="str">
        <f>IF(BA78=FALSE,"","下限")</f>
        <v/>
      </c>
      <c r="AJ76" s="3"/>
      <c r="AY76" s="101"/>
      <c r="AZ76" s="101"/>
      <c r="BA76" s="101"/>
      <c r="BB76" s="101"/>
    </row>
    <row r="77" spans="2:71" ht="19.5" thickBot="1" x14ac:dyDescent="0.2">
      <c r="G77" s="238"/>
      <c r="H77" s="238"/>
      <c r="J77" s="5" t="str">
        <f>IF(BA78=FALSE,"","割増率")</f>
        <v/>
      </c>
      <c r="M77" s="291">
        <v>50</v>
      </c>
      <c r="N77" s="291"/>
      <c r="O77" s="187" t="str">
        <f>IF(BA78=FALSE,"","％")</f>
        <v/>
      </c>
      <c r="P77" s="188" t="str">
        <f>IF(BA78=FALSE,"","～")</f>
        <v/>
      </c>
      <c r="Q77" s="299"/>
      <c r="R77" s="300"/>
      <c r="S77" s="3" t="str">
        <f>IF(BA78=FALSE,"","％")</f>
        <v/>
      </c>
      <c r="T77" s="301" t="s">
        <v>123</v>
      </c>
      <c r="U77" s="302"/>
      <c r="V77" s="302"/>
      <c r="W77" s="302"/>
      <c r="X77" s="302"/>
      <c r="Y77" s="302"/>
      <c r="Z77" s="302"/>
      <c r="AA77" s="302"/>
      <c r="AB77" s="302"/>
      <c r="AC77" s="302"/>
      <c r="AD77" s="302"/>
      <c r="AE77" s="302"/>
      <c r="AF77" s="302"/>
      <c r="AG77" s="302"/>
      <c r="AY77" s="101"/>
      <c r="AZ77" s="101"/>
      <c r="BA77" s="101"/>
      <c r="BB77" s="101"/>
    </row>
    <row r="78" spans="2:71" ht="18.75" x14ac:dyDescent="0.15">
      <c r="C78" s="9" t="str">
        <f>IF($BA$78=FALSE,"","[上限50％]")</f>
        <v/>
      </c>
      <c r="D78" s="9"/>
      <c r="E78" s="9"/>
      <c r="P78" s="1"/>
      <c r="Y78" s="171"/>
      <c r="Z78" s="171"/>
      <c r="AA78" s="171"/>
      <c r="AB78" s="171"/>
      <c r="AC78" s="171"/>
      <c r="AD78" s="171"/>
      <c r="AE78" s="171"/>
      <c r="AF78" s="171"/>
      <c r="AG78" s="171"/>
      <c r="AH78" s="171"/>
      <c r="AI78" s="171"/>
      <c r="AJ78" s="171"/>
      <c r="AK78" s="171"/>
      <c r="AL78" s="171"/>
      <c r="AM78" s="171"/>
      <c r="AN78" s="171"/>
      <c r="AO78" s="171"/>
      <c r="AP78" s="171"/>
      <c r="AQ78" s="171"/>
      <c r="AR78" s="171"/>
      <c r="AY78" s="149"/>
      <c r="AZ78" s="149"/>
      <c r="BA78" s="130" t="b">
        <v>0</v>
      </c>
      <c r="BB78" s="148"/>
    </row>
    <row r="79" spans="2:71" ht="18.75" x14ac:dyDescent="0.15">
      <c r="C79" s="9"/>
      <c r="D79" s="195"/>
      <c r="E79" s="195"/>
      <c r="F79" s="171"/>
      <c r="G79" s="303" t="str">
        <f>IF(BA78=FALSE,"","運賃")</f>
        <v/>
      </c>
      <c r="H79" s="303"/>
      <c r="I79" s="303"/>
      <c r="J79" s="303"/>
      <c r="K79" s="171"/>
      <c r="L79" s="303" t="str">
        <f>IF(BA78=FALSE,"","割増率")</f>
        <v/>
      </c>
      <c r="M79" s="303"/>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Y79" s="134"/>
      <c r="AZ79" s="101"/>
      <c r="BA79" s="101"/>
      <c r="BB79" s="148"/>
    </row>
    <row r="80" spans="2:71" ht="18.75" hidden="1" x14ac:dyDescent="0.15">
      <c r="C80" s="9"/>
      <c r="D80" s="195"/>
      <c r="E80" s="195"/>
      <c r="F80" s="295" t="str">
        <f>IF(BA78=FALSE,"",IF(BC43=1,AF46,AB53))</f>
        <v/>
      </c>
      <c r="G80" s="295"/>
      <c r="H80" s="295"/>
      <c r="I80" s="295"/>
      <c r="J80" s="295"/>
      <c r="K80" s="196" t="str">
        <f>IF(BA78=FALSE,"","×")</f>
        <v/>
      </c>
      <c r="L80" s="296" t="str">
        <f>IF(BA78=FALSE,"",IF(M77="","",$M$77/100))</f>
        <v/>
      </c>
      <c r="M80" s="296"/>
      <c r="N80" s="197"/>
      <c r="O80" s="140" t="str">
        <f>IF(BA78=FALSE,"","=")</f>
        <v/>
      </c>
      <c r="P80" s="297" t="str">
        <f>IF(BA78=FALSE,"",IF(ISERROR(ROUND(F80*L80,0)),"",ROUND(F80*L80,0)))</f>
        <v/>
      </c>
      <c r="Q80" s="297"/>
      <c r="R80" s="297"/>
      <c r="S80" s="297"/>
      <c r="T80" s="297"/>
      <c r="U80" s="297"/>
      <c r="V80" s="297"/>
      <c r="W80" s="171" t="str">
        <f>IF(BA78=FALSE,"","上限額⑤")</f>
        <v/>
      </c>
      <c r="X80" s="140"/>
      <c r="Y80" s="140"/>
      <c r="Z80" s="140"/>
      <c r="AA80" s="171"/>
      <c r="AB80" s="171"/>
      <c r="AC80" s="109"/>
      <c r="AD80" s="109"/>
      <c r="AE80" s="110"/>
      <c r="AF80" s="110"/>
      <c r="AG80" s="110"/>
      <c r="AI80" s="186"/>
      <c r="AJ80" s="186"/>
      <c r="AK80" s="186"/>
      <c r="AL80" s="186"/>
      <c r="AM80" s="186"/>
      <c r="AN80" s="186"/>
      <c r="AO80" s="186"/>
      <c r="AP80" s="8"/>
      <c r="AY80" s="134"/>
      <c r="AZ80" s="101"/>
      <c r="BA80" s="101"/>
      <c r="BB80" s="148"/>
    </row>
    <row r="81" spans="1:62" ht="18.75" hidden="1" x14ac:dyDescent="0.15">
      <c r="C81" s="9"/>
      <c r="D81" s="9"/>
      <c r="E81" s="9"/>
      <c r="F81" s="222" t="str">
        <f>IF(BA78=FALSE,"",IF(BC43=1,AF48,AF48))</f>
        <v/>
      </c>
      <c r="G81" s="222"/>
      <c r="H81" s="222"/>
      <c r="I81" s="222"/>
      <c r="J81" s="222"/>
      <c r="K81" s="109" t="str">
        <f>IF(BA78=FALSE,"","×")</f>
        <v/>
      </c>
      <c r="L81" s="233" t="str">
        <f>IF(BA78=FALSE,"",IF(M77="","",$M$77/100))</f>
        <v/>
      </c>
      <c r="M81" s="233"/>
      <c r="N81" s="155"/>
      <c r="O81" s="5" t="str">
        <f>IF(BA78=FALSE,"","=")</f>
        <v/>
      </c>
      <c r="P81" s="298" t="str">
        <f>IF(BA78=FALSE,"",IF(ISERROR(ROUND(F81*L81,0)),"",ROUND(F81*L81,0)))</f>
        <v/>
      </c>
      <c r="Q81" s="298"/>
      <c r="R81" s="298"/>
      <c r="S81" s="298"/>
      <c r="T81" s="298"/>
      <c r="U81" s="298"/>
      <c r="V81" s="298"/>
      <c r="W81" s="8" t="str">
        <f>IF(BA78=FALSE,"","下限額⑥")</f>
        <v/>
      </c>
      <c r="AA81" s="109"/>
      <c r="AB81" s="109"/>
      <c r="AC81" s="109"/>
      <c r="AD81" s="109"/>
      <c r="AE81" s="110"/>
      <c r="AF81" s="110"/>
      <c r="AG81" s="110"/>
      <c r="AI81" s="186"/>
      <c r="AJ81" s="186"/>
      <c r="AK81" s="186"/>
      <c r="AL81" s="186"/>
      <c r="AM81" s="186"/>
      <c r="AN81" s="186"/>
      <c r="AO81" s="186"/>
      <c r="AP81" s="8"/>
      <c r="AY81" s="134"/>
      <c r="AZ81" s="101"/>
      <c r="BA81" s="101"/>
      <c r="BB81" s="148"/>
    </row>
    <row r="82" spans="1:62" ht="18.75" hidden="1" x14ac:dyDescent="0.15">
      <c r="C82" s="9" t="str">
        <f>IF($BA$78=FALSE,"","[下限1％]")</f>
        <v/>
      </c>
      <c r="D82" s="9"/>
      <c r="E82" s="9"/>
      <c r="P82" s="1"/>
      <c r="Y82" s="109"/>
      <c r="Z82" s="109"/>
      <c r="AA82" s="109"/>
      <c r="AB82" s="109"/>
      <c r="AC82" s="109"/>
      <c r="AD82" s="109"/>
      <c r="AE82" s="110"/>
      <c r="AF82" s="110"/>
      <c r="AG82" s="110"/>
      <c r="AI82" s="186"/>
      <c r="AJ82" s="186"/>
      <c r="AK82" s="186"/>
      <c r="AL82" s="186"/>
      <c r="AM82" s="186"/>
      <c r="AN82" s="186"/>
      <c r="AO82" s="186"/>
      <c r="AP82" s="8"/>
      <c r="AY82" s="134"/>
      <c r="AZ82" s="101"/>
      <c r="BA82" s="101"/>
      <c r="BB82" s="148"/>
    </row>
    <row r="83" spans="1:62" ht="18.75" hidden="1" x14ac:dyDescent="0.15">
      <c r="D83" s="171"/>
      <c r="E83" s="171"/>
      <c r="F83" s="222" t="str">
        <f>IF(BA78=FALSE,"",IF(BC43=1,AF46,AB53))</f>
        <v/>
      </c>
      <c r="G83" s="222"/>
      <c r="H83" s="222"/>
      <c r="I83" s="222"/>
      <c r="J83" s="222"/>
      <c r="K83" s="109" t="str">
        <f>IF(BA78=FALSE,"","×")</f>
        <v/>
      </c>
      <c r="L83" s="233" t="str">
        <f>IF(BA78=FALSE,"",IF(Q77="","",$Q$77/100))</f>
        <v/>
      </c>
      <c r="M83" s="233"/>
      <c r="N83" s="155"/>
      <c r="O83" s="5" t="str">
        <f>IF(BA78=FALSE,"","=")</f>
        <v/>
      </c>
      <c r="P83" s="298" t="str">
        <f>IF(BA78=FALSE,"",IF(ISERROR(ROUND(F83*L83,0)),"",ROUND(F83*L83,0)))</f>
        <v/>
      </c>
      <c r="Q83" s="298"/>
      <c r="R83" s="298"/>
      <c r="S83" s="298"/>
      <c r="T83" s="298"/>
      <c r="U83" s="298"/>
      <c r="V83" s="298"/>
      <c r="W83" s="8" t="str">
        <f>IF(BA78=FALSE,"","上限額⑤'")</f>
        <v/>
      </c>
      <c r="Z83" s="109"/>
      <c r="AA83" s="109"/>
      <c r="AB83" s="109"/>
      <c r="AC83" s="109"/>
      <c r="AD83" s="109"/>
      <c r="AE83" s="110"/>
      <c r="AF83" s="110"/>
      <c r="AG83" s="110"/>
      <c r="AI83" s="186"/>
      <c r="AJ83" s="186"/>
      <c r="AK83" s="186"/>
      <c r="AL83" s="186"/>
      <c r="AM83" s="186"/>
      <c r="AN83" s="186"/>
      <c r="AO83" s="186"/>
      <c r="AP83" s="8"/>
      <c r="AY83" s="134"/>
      <c r="AZ83" s="101"/>
      <c r="BA83" s="101"/>
      <c r="BB83" s="148"/>
    </row>
    <row r="84" spans="1:62" ht="18.75" x14ac:dyDescent="0.15">
      <c r="D84" s="171"/>
      <c r="E84" s="171"/>
      <c r="F84" s="222" t="str">
        <f>IF(BA78=FALSE,"",IF(BC43=1,AF48,AF48))</f>
        <v/>
      </c>
      <c r="G84" s="222"/>
      <c r="H84" s="222"/>
      <c r="I84" s="222"/>
      <c r="J84" s="222"/>
      <c r="K84" s="109" t="str">
        <f>IF(BA78=FALSE,"","×")</f>
        <v/>
      </c>
      <c r="L84" s="233" t="str">
        <f>IF(BA78=FALSE,"",IF(Q77="","",$Q$77/100))</f>
        <v/>
      </c>
      <c r="M84" s="233"/>
      <c r="N84" s="155"/>
      <c r="O84" s="5" t="str">
        <f>IF(BA78=FALSE,"","=")</f>
        <v/>
      </c>
      <c r="P84" s="298" t="str">
        <f>IF(BA78=FALSE,"",IF(ISERROR(ROUND(F84*L84,0)),"",ROUND(F84*L84,0)))</f>
        <v/>
      </c>
      <c r="Q84" s="298"/>
      <c r="R84" s="298"/>
      <c r="S84" s="298"/>
      <c r="T84" s="298"/>
      <c r="U84" s="298"/>
      <c r="V84" s="298"/>
      <c r="W84" s="8" t="s">
        <v>132</v>
      </c>
      <c r="Z84" s="109"/>
      <c r="AA84" s="109"/>
      <c r="AB84" s="109"/>
      <c r="AC84" s="109"/>
      <c r="AD84" s="109"/>
      <c r="AE84" s="110"/>
      <c r="AF84" s="110"/>
      <c r="AG84" s="110"/>
      <c r="AI84" s="186"/>
      <c r="AJ84" s="186"/>
      <c r="AK84" s="186"/>
      <c r="AL84" s="186"/>
      <c r="AM84" s="186"/>
      <c r="AN84" s="186"/>
      <c r="AO84" s="186"/>
      <c r="AP84" s="8"/>
      <c r="AY84" s="134"/>
      <c r="AZ84" s="101"/>
      <c r="BA84" s="101"/>
      <c r="BB84" s="148"/>
    </row>
    <row r="85" spans="1:62" ht="18.75" x14ac:dyDescent="0.15">
      <c r="P85" s="1"/>
      <c r="Y85" s="109"/>
      <c r="Z85" s="109"/>
      <c r="AA85" s="109"/>
      <c r="AB85" s="109"/>
      <c r="AC85" s="109"/>
      <c r="AD85" s="109"/>
      <c r="AE85" s="110"/>
      <c r="AF85" s="110"/>
      <c r="AG85" s="110"/>
      <c r="AI85" s="186"/>
      <c r="AJ85" s="186"/>
      <c r="AK85" s="186"/>
      <c r="AL85" s="186"/>
      <c r="AM85" s="186"/>
      <c r="AN85" s="186"/>
      <c r="AO85" s="186"/>
      <c r="AP85" s="87"/>
      <c r="AY85" s="101"/>
      <c r="AZ85" s="101"/>
      <c r="BA85" s="101"/>
      <c r="BB85" s="148"/>
    </row>
    <row r="86" spans="1:62" ht="18.75" x14ac:dyDescent="0.15">
      <c r="A86" s="8"/>
      <c r="B86" s="8"/>
      <c r="E86" s="121" t="s">
        <v>25</v>
      </c>
      <c r="M86" s="3"/>
      <c r="AY86" s="101"/>
      <c r="AZ86" s="101"/>
      <c r="BA86" s="101"/>
      <c r="BB86" s="101"/>
    </row>
    <row r="87" spans="1:62" x14ac:dyDescent="0.15">
      <c r="A87" s="8"/>
      <c r="B87" s="8"/>
      <c r="D87" s="304" t="s">
        <v>111</v>
      </c>
      <c r="E87" s="304"/>
      <c r="F87" s="304"/>
      <c r="G87" s="304"/>
      <c r="H87" s="304"/>
      <c r="I87" s="304"/>
      <c r="J87" s="304"/>
      <c r="K87" s="304"/>
      <c r="L87" s="304"/>
      <c r="M87" s="304"/>
      <c r="N87" s="304"/>
      <c r="O87" s="304"/>
      <c r="P87" s="304"/>
      <c r="Q87" s="304"/>
      <c r="R87" s="304"/>
      <c r="S87" s="304"/>
      <c r="T87" s="304"/>
      <c r="AY87" s="101"/>
      <c r="AZ87" s="101"/>
      <c r="BA87" s="101"/>
      <c r="BB87" s="101"/>
    </row>
    <row r="88" spans="1:62" x14ac:dyDescent="0.15">
      <c r="A88" s="8"/>
      <c r="B88" s="8"/>
      <c r="D88" s="304"/>
      <c r="E88" s="304"/>
      <c r="F88" s="304"/>
      <c r="G88" s="304"/>
      <c r="H88" s="304"/>
      <c r="I88" s="304"/>
      <c r="J88" s="304"/>
      <c r="K88" s="304"/>
      <c r="L88" s="304"/>
      <c r="M88" s="304"/>
      <c r="N88" s="304"/>
      <c r="O88" s="304"/>
      <c r="P88" s="304"/>
      <c r="Q88" s="304"/>
      <c r="R88" s="304"/>
      <c r="S88" s="304"/>
      <c r="T88" s="304"/>
      <c r="Y88" s="16"/>
      <c r="Z88" s="16"/>
      <c r="AA88" s="16"/>
      <c r="AB88" s="16"/>
      <c r="AC88" s="16"/>
      <c r="AD88" s="16"/>
      <c r="AE88" s="16"/>
      <c r="AY88" s="101"/>
      <c r="AZ88" s="101"/>
      <c r="BA88" s="101"/>
      <c r="BB88" s="101"/>
      <c r="BC88" s="137"/>
      <c r="BJ88" s="138"/>
    </row>
    <row r="89" spans="1:62" hidden="1" x14ac:dyDescent="0.15">
      <c r="A89" s="8"/>
      <c r="B89" s="8"/>
      <c r="D89" s="123"/>
      <c r="E89" s="123"/>
      <c r="F89" s="123"/>
      <c r="G89" s="123"/>
      <c r="H89" s="123"/>
      <c r="I89" s="123"/>
      <c r="J89" s="283" t="str">
        <f>IF(BA91=FALSE,"","上限額")</f>
        <v/>
      </c>
      <c r="K89" s="283"/>
      <c r="L89" s="283"/>
      <c r="M89" s="59"/>
      <c r="N89" s="283" t="str">
        <f>IF(BA91=FALSE,"","下限額")</f>
        <v/>
      </c>
      <c r="O89" s="283"/>
      <c r="P89" s="283"/>
      <c r="AN89" s="8"/>
      <c r="AO89" s="8"/>
      <c r="AP89" s="8"/>
      <c r="AQ89" s="8"/>
      <c r="AR89" s="8"/>
      <c r="AS89" s="8"/>
      <c r="AT89" s="8"/>
      <c r="AU89" s="8"/>
      <c r="AV89" s="8"/>
      <c r="AW89" s="31"/>
      <c r="AX89" s="31"/>
      <c r="AY89" s="101"/>
      <c r="AZ89" s="101"/>
      <c r="BA89" s="101"/>
      <c r="BB89" s="101"/>
      <c r="BC89" s="137"/>
      <c r="BJ89" s="138"/>
    </row>
    <row r="90" spans="1:62" x14ac:dyDescent="0.15">
      <c r="A90" s="8"/>
      <c r="G90" s="305" t="str">
        <f>IF(BA91=FALSE,"","時間単価")</f>
        <v/>
      </c>
      <c r="H90" s="305"/>
      <c r="I90" s="305"/>
      <c r="J90" s="306" t="str">
        <f ca="1">IF(BA91=FALSE,"",INDEX(INDIRECT(VLOOKUP(BC5,BD91:BF102,2,FALSE)),2,1))</f>
        <v/>
      </c>
      <c r="K90" s="306"/>
      <c r="L90" s="306"/>
      <c r="M90" s="107" t="str">
        <f>IF(BA91=FALSE,"","～")</f>
        <v/>
      </c>
      <c r="N90" s="224" t="str">
        <f ca="1">IF(BA91=FALSE,"",INDEX(INDIRECT(VLOOKUP(BC5,BD91:BF102,2,FALSE)),2,2))</f>
        <v/>
      </c>
      <c r="O90" s="224"/>
      <c r="P90" s="224"/>
      <c r="Q90" s="55"/>
      <c r="AO90" s="8"/>
      <c r="AP90" s="8"/>
      <c r="AQ90" s="8"/>
      <c r="AR90" s="8"/>
      <c r="AS90" s="8"/>
      <c r="AT90" s="8"/>
      <c r="AU90" s="8"/>
      <c r="AV90" s="8"/>
      <c r="AW90" s="31"/>
      <c r="AX90" s="31"/>
      <c r="AY90" s="101"/>
      <c r="AZ90" s="101"/>
      <c r="BA90" s="101"/>
      <c r="BB90" s="101"/>
      <c r="BC90" s="137"/>
      <c r="BJ90" s="138"/>
    </row>
    <row r="91" spans="1:62" x14ac:dyDescent="0.15">
      <c r="A91" s="8"/>
      <c r="C91" s="8"/>
      <c r="F91" s="116"/>
      <c r="G91" s="116"/>
      <c r="H91" s="116"/>
      <c r="J91" s="9"/>
      <c r="K91" s="9"/>
      <c r="L91" s="9"/>
      <c r="M91" s="9"/>
      <c r="AN91" s="8"/>
      <c r="AO91" s="8"/>
      <c r="AP91" s="8"/>
      <c r="AQ91" s="8"/>
      <c r="AR91" s="8"/>
      <c r="AS91" s="8"/>
      <c r="AT91" s="8"/>
      <c r="AU91" s="8"/>
      <c r="AV91" s="8"/>
      <c r="AW91" s="31"/>
      <c r="AX91" s="31"/>
      <c r="AY91" s="101"/>
      <c r="AZ91" s="101"/>
      <c r="BA91" s="131" t="b">
        <v>0</v>
      </c>
      <c r="BB91" s="101"/>
      <c r="BD91" s="31">
        <v>1</v>
      </c>
      <c r="BE91" s="31" t="s">
        <v>98</v>
      </c>
    </row>
    <row r="92" spans="1:62" x14ac:dyDescent="0.15">
      <c r="A92" s="8"/>
      <c r="C92" s="8"/>
      <c r="G92" s="305" t="str">
        <f>IF(BA91=FALSE,"","キロ単価")</f>
        <v/>
      </c>
      <c r="H92" s="305"/>
      <c r="I92" s="305"/>
      <c r="J92" s="306" t="str">
        <f ca="1">IF(BA91=FALSE,"",INDEX(INDIRECT(VLOOKUP(BC5,BD91:BF101,2,FALSE)),1,1))</f>
        <v/>
      </c>
      <c r="K92" s="306"/>
      <c r="L92" s="306"/>
      <c r="M92" s="107" t="str">
        <f>IF(BA91=FALSE,"","～")</f>
        <v/>
      </c>
      <c r="N92" s="224" t="str">
        <f ca="1">IF(BA91=FALSE,"",INDEX(INDIRECT(VLOOKUP(BC5,BD91:BF101,2,FALSE)),1,2))</f>
        <v/>
      </c>
      <c r="O92" s="224"/>
      <c r="P92" s="224"/>
      <c r="Q92" s="8"/>
      <c r="U92" s="8"/>
      <c r="V92" s="8"/>
      <c r="W92" s="8"/>
      <c r="X92" s="8"/>
      <c r="Y92" s="8"/>
      <c r="Z92" s="8"/>
      <c r="AA92" s="8"/>
      <c r="AE92" s="38"/>
      <c r="AN92" s="8"/>
      <c r="AO92" s="8"/>
      <c r="AP92" s="8"/>
      <c r="AQ92" s="8"/>
      <c r="AR92" s="8"/>
      <c r="AS92" s="8"/>
      <c r="AT92" s="8"/>
      <c r="AU92" s="8"/>
      <c r="AV92" s="8"/>
      <c r="AW92" s="31"/>
      <c r="AX92" s="31"/>
      <c r="AY92" s="101"/>
      <c r="AZ92" s="101"/>
      <c r="BA92" s="101"/>
      <c r="BB92" s="101"/>
      <c r="BD92" s="31">
        <v>2</v>
      </c>
      <c r="BE92" s="31" t="s">
        <v>99</v>
      </c>
    </row>
    <row r="93" spans="1:62" ht="18.75" hidden="1" x14ac:dyDescent="0.15">
      <c r="A93" s="8"/>
      <c r="N93" s="6"/>
      <c r="O93" s="6"/>
      <c r="P93" s="6"/>
      <c r="R93" s="11"/>
      <c r="S93" s="11"/>
      <c r="AJ93" s="6"/>
      <c r="AK93" s="6"/>
      <c r="AL93" s="6"/>
      <c r="AM93" s="6"/>
      <c r="AN93" s="6"/>
      <c r="AO93" s="6"/>
      <c r="AP93" s="6"/>
      <c r="AQ93" s="6"/>
      <c r="AR93" s="6"/>
      <c r="AT93" s="38"/>
      <c r="AY93" s="101"/>
      <c r="AZ93" s="101"/>
      <c r="BA93" s="101"/>
      <c r="BB93" s="101"/>
      <c r="BD93" s="31">
        <v>3</v>
      </c>
      <c r="BE93" s="31" t="s">
        <v>100</v>
      </c>
    </row>
    <row r="94" spans="1:62" ht="18.75" hidden="1" x14ac:dyDescent="0.15">
      <c r="A94" s="8"/>
      <c r="J94" s="212" t="str">
        <f>IF(BA91=FALSE,"","時間単価")</f>
        <v/>
      </c>
      <c r="K94" s="212"/>
      <c r="L94" s="212"/>
      <c r="M94" s="1"/>
      <c r="N94" s="212" t="str">
        <f>IF(BA91=FALSE,"","総拘束時間")</f>
        <v/>
      </c>
      <c r="O94" s="212"/>
      <c r="P94" s="212"/>
      <c r="R94" s="212" t="str">
        <f>IF(BA91=FALSE,"","キロ単価")</f>
        <v/>
      </c>
      <c r="S94" s="212"/>
      <c r="T94" s="212"/>
      <c r="U94" s="212"/>
      <c r="W94" s="212" t="str">
        <f>IF(BA91=FALSE,"","走行距離")</f>
        <v/>
      </c>
      <c r="X94" s="212"/>
      <c r="Y94" s="212"/>
      <c r="AJ94" s="6"/>
      <c r="AK94" s="6"/>
      <c r="AL94" s="6"/>
      <c r="AM94" s="6"/>
      <c r="AN94" s="6"/>
      <c r="AO94" s="6"/>
      <c r="AP94" s="6"/>
      <c r="AQ94" s="6"/>
      <c r="AR94" s="6"/>
      <c r="AT94" s="38"/>
      <c r="AY94" s="101"/>
      <c r="AZ94" s="101"/>
      <c r="BA94" s="101"/>
      <c r="BB94" s="101"/>
      <c r="BD94" s="31">
        <v>4</v>
      </c>
      <c r="BE94" s="31" t="s">
        <v>101</v>
      </c>
    </row>
    <row r="95" spans="1:62" ht="18.75" hidden="1" x14ac:dyDescent="0.15">
      <c r="A95" s="8"/>
      <c r="J95" s="222" t="str">
        <f>IF(BA91=FALSE,"",+$J$90)</f>
        <v/>
      </c>
      <c r="K95" s="222"/>
      <c r="L95" s="222"/>
      <c r="M95" s="5" t="str">
        <f>IF(BA91=FALSE,"","×")</f>
        <v/>
      </c>
      <c r="N95" s="223" t="str">
        <f>IF(BA91=FALSE,"",+AF33)</f>
        <v/>
      </c>
      <c r="O95" s="223"/>
      <c r="P95" s="223"/>
      <c r="Q95" s="5" t="str">
        <f>IF(BA91=FALSE,"","＋")</f>
        <v/>
      </c>
      <c r="R95" s="222" t="str">
        <f>IF(BA91=FALSE,"",+$J$92)</f>
        <v/>
      </c>
      <c r="S95" s="222"/>
      <c r="T95" s="222"/>
      <c r="U95" s="222"/>
      <c r="V95" s="5" t="str">
        <f>IF(BC102=FALSE,"","×")</f>
        <v/>
      </c>
      <c r="W95" s="228" t="str">
        <f>IF(BA91=FALSE,"",IF($T$39="",$N$39,$T$39))</f>
        <v/>
      </c>
      <c r="X95" s="228"/>
      <c r="Y95" s="228"/>
      <c r="Z95" s="5" t="str">
        <f>IF(BA91=FALSE,"","＝")</f>
        <v/>
      </c>
      <c r="AA95" s="307" t="str">
        <f>IF(BA91=FALSE,"",IF(OR(J90="",$AF$33=0,J92="",$N$39=""),"",ROUND(+$J$95*$N$95,0)+ROUND($R$95*$W$95,0)))</f>
        <v/>
      </c>
      <c r="AB95" s="307"/>
      <c r="AC95" s="307"/>
      <c r="AD95" s="307"/>
      <c r="AE95" s="307"/>
      <c r="AF95" s="307"/>
      <c r="AG95" s="307"/>
      <c r="AH95" s="8" t="str">
        <f>IF(BA91=FALSE,"","上限額⑦")</f>
        <v/>
      </c>
      <c r="AJ95" s="16"/>
      <c r="AK95" s="6"/>
      <c r="AL95" s="6"/>
      <c r="AM95" s="6"/>
      <c r="AN95" s="6"/>
      <c r="AO95" s="6"/>
      <c r="AP95" s="6"/>
      <c r="AQ95" s="6"/>
      <c r="AR95" s="6"/>
      <c r="AT95" s="38"/>
      <c r="AY95" s="101"/>
      <c r="AZ95" s="101"/>
      <c r="BA95" s="101"/>
      <c r="BB95" s="101"/>
      <c r="BD95" s="31">
        <v>5</v>
      </c>
      <c r="BE95" s="31" t="s">
        <v>102</v>
      </c>
    </row>
    <row r="96" spans="1:62" ht="18.75" x14ac:dyDescent="0.15">
      <c r="A96" s="8"/>
      <c r="N96" s="6"/>
      <c r="O96" s="6"/>
      <c r="P96" s="6"/>
      <c r="R96" s="11"/>
      <c r="S96" s="11"/>
      <c r="AK96" s="6"/>
      <c r="AL96" s="6"/>
      <c r="AM96" s="6"/>
      <c r="AN96" s="6"/>
      <c r="AO96" s="6"/>
      <c r="AP96" s="6"/>
      <c r="AQ96" s="6"/>
      <c r="AR96" s="6"/>
      <c r="AT96" s="38"/>
      <c r="AY96" s="101"/>
      <c r="AZ96" s="101"/>
      <c r="BA96" s="101"/>
      <c r="BB96" s="101"/>
      <c r="BD96" s="31">
        <v>6</v>
      </c>
      <c r="BE96" s="31" t="s">
        <v>103</v>
      </c>
    </row>
    <row r="97" spans="1:57" x14ac:dyDescent="0.15">
      <c r="A97" s="8"/>
      <c r="J97" s="212" t="str">
        <f>IF(BA91=FALSE,"","時間単価")</f>
        <v/>
      </c>
      <c r="K97" s="212"/>
      <c r="L97" s="212"/>
      <c r="M97" s="1"/>
      <c r="N97" s="212" t="str">
        <f>IF(BA91=FALSE,"","総拘束時間")</f>
        <v/>
      </c>
      <c r="O97" s="212"/>
      <c r="P97" s="212"/>
      <c r="R97" s="212" t="str">
        <f>IF(BA91=FALSE,"","キロ単価")</f>
        <v/>
      </c>
      <c r="S97" s="212"/>
      <c r="T97" s="212"/>
      <c r="U97" s="212"/>
      <c r="W97" s="212" t="str">
        <f>IF(BA91=FALSE,"","走行距離")</f>
        <v/>
      </c>
      <c r="X97" s="212"/>
      <c r="Y97" s="212"/>
      <c r="AJ97" s="16"/>
      <c r="AK97" s="1"/>
      <c r="AL97" s="1"/>
      <c r="AM97" s="1"/>
      <c r="AN97" s="1"/>
      <c r="AO97" s="1"/>
      <c r="AP97" s="1"/>
      <c r="AQ97" s="1"/>
      <c r="AR97" s="1"/>
      <c r="AY97" s="101"/>
      <c r="AZ97" s="101"/>
      <c r="BA97" s="101"/>
      <c r="BB97" s="101"/>
      <c r="BD97" s="31">
        <v>7</v>
      </c>
      <c r="BE97" s="31" t="s">
        <v>104</v>
      </c>
    </row>
    <row r="98" spans="1:57" ht="18.75" x14ac:dyDescent="0.15">
      <c r="A98" s="8"/>
      <c r="J98" s="222" t="str">
        <f>IF(BA91=FALSE,"",+$N$90)</f>
        <v/>
      </c>
      <c r="K98" s="222"/>
      <c r="L98" s="222"/>
      <c r="M98" s="5" t="str">
        <f>IF(BA91=FALSE,"","×")</f>
        <v/>
      </c>
      <c r="N98" s="223" t="str">
        <f>IF(BA91=FALSE,"",+AF33)</f>
        <v/>
      </c>
      <c r="O98" s="223"/>
      <c r="P98" s="223"/>
      <c r="Q98" s="5" t="str">
        <f>IF(BA91=FALSE,"","＋")</f>
        <v/>
      </c>
      <c r="R98" s="222" t="str">
        <f>IF(BA91=FALSE,"",+$N$92)</f>
        <v/>
      </c>
      <c r="S98" s="222"/>
      <c r="T98" s="222"/>
      <c r="U98" s="222"/>
      <c r="V98" s="5" t="str">
        <f>IF(BA91=FALSE,"","×")</f>
        <v/>
      </c>
      <c r="W98" s="228" t="str">
        <f>IF(BA91=FALSE,"",IF($T$39="",$N$39,$T$39))</f>
        <v/>
      </c>
      <c r="X98" s="228"/>
      <c r="Y98" s="228"/>
      <c r="Z98" s="5" t="str">
        <f>IF(BA91=FALSE,"","＝")</f>
        <v/>
      </c>
      <c r="AA98" s="307" t="str">
        <f>IF(BA91=FALSE,"",IF(OR(N90="",$AF$33=0,N92="",$N$39=""),"",ROUND(+$J$98*$N$98,0)+ROUND($R$98*$W$98,0)))</f>
        <v/>
      </c>
      <c r="AB98" s="307"/>
      <c r="AC98" s="307"/>
      <c r="AD98" s="307"/>
      <c r="AE98" s="307"/>
      <c r="AF98" s="307"/>
      <c r="AG98" s="307"/>
      <c r="AH98" s="59" t="s">
        <v>133</v>
      </c>
      <c r="AJ98" s="16"/>
      <c r="AK98" s="59"/>
      <c r="AL98" s="59"/>
      <c r="AM98" s="1"/>
      <c r="AN98" s="1"/>
      <c r="AO98" s="1"/>
      <c r="AP98" s="1"/>
      <c r="AQ98" s="1"/>
      <c r="AR98" s="1"/>
      <c r="AY98" s="101"/>
      <c r="AZ98" s="101"/>
      <c r="BA98" s="101"/>
      <c r="BB98" s="101"/>
      <c r="BD98" s="31">
        <v>7</v>
      </c>
      <c r="BE98" s="31" t="s">
        <v>104</v>
      </c>
    </row>
    <row r="99" spans="1:57" ht="18.75" hidden="1" x14ac:dyDescent="0.15">
      <c r="A99" s="8"/>
      <c r="J99" s="109"/>
      <c r="K99" s="109"/>
      <c r="L99" s="109"/>
      <c r="N99" s="176"/>
      <c r="O99" s="176"/>
      <c r="P99" s="176"/>
      <c r="R99" s="109"/>
      <c r="S99" s="109"/>
      <c r="T99" s="109"/>
      <c r="U99" s="109"/>
      <c r="W99" s="175"/>
      <c r="X99" s="175"/>
      <c r="Y99" s="175"/>
      <c r="AA99" s="182"/>
      <c r="AB99" s="182"/>
      <c r="AC99" s="182"/>
      <c r="AD99" s="182"/>
      <c r="AE99" s="182"/>
      <c r="AF99" s="182"/>
      <c r="AG99" s="182"/>
      <c r="AH99" s="59"/>
      <c r="AJ99" s="16"/>
      <c r="AK99" s="59"/>
      <c r="AL99" s="59"/>
      <c r="AM99" s="1"/>
      <c r="AN99" s="1"/>
      <c r="AO99" s="1"/>
      <c r="AP99" s="1"/>
      <c r="AQ99" s="1"/>
      <c r="AR99" s="1"/>
      <c r="AY99" s="101"/>
      <c r="AZ99" s="101"/>
      <c r="BA99" s="101"/>
      <c r="BB99" s="101"/>
      <c r="BD99" s="31">
        <v>8</v>
      </c>
      <c r="BE99" s="31" t="s">
        <v>105</v>
      </c>
    </row>
    <row r="100" spans="1:57" ht="18.75" hidden="1" x14ac:dyDescent="0.15">
      <c r="A100" s="8"/>
      <c r="N100" s="6"/>
      <c r="O100" s="6"/>
      <c r="P100" s="6"/>
      <c r="R100" s="11"/>
      <c r="S100" s="11"/>
      <c r="AJ100" s="6"/>
      <c r="AK100" s="6"/>
      <c r="AL100" s="6"/>
      <c r="AM100" s="6"/>
      <c r="AN100" s="6"/>
      <c r="AO100" s="6"/>
      <c r="AP100" s="6"/>
      <c r="AQ100" s="6"/>
      <c r="AR100" s="6"/>
      <c r="AY100" s="101"/>
      <c r="AZ100" s="101"/>
      <c r="BA100" s="101"/>
      <c r="BB100" s="101"/>
      <c r="BD100" s="31">
        <v>9</v>
      </c>
      <c r="BE100" s="31" t="s">
        <v>107</v>
      </c>
    </row>
    <row r="101" spans="1:57" hidden="1" x14ac:dyDescent="0.15">
      <c r="B101" s="221" t="s">
        <v>6</v>
      </c>
      <c r="C101" s="221"/>
      <c r="D101" s="221"/>
      <c r="E101" s="221"/>
      <c r="F101" s="38"/>
      <c r="G101" s="38"/>
      <c r="H101" s="226" t="s">
        <v>42</v>
      </c>
      <c r="I101" s="226"/>
      <c r="J101" s="226"/>
      <c r="K101" s="226"/>
      <c r="L101" s="225">
        <f ca="1">IF(ISERROR(+R$105+X$105+AD$105+AK$105),"",+R$105+X$105+AD$105+AK$105)</f>
        <v>0</v>
      </c>
      <c r="M101" s="225"/>
      <c r="N101" s="225"/>
      <c r="O101" s="225"/>
      <c r="P101" s="225"/>
      <c r="Q101" s="109"/>
      <c r="R101" s="212" t="s">
        <v>1</v>
      </c>
      <c r="S101" s="212"/>
      <c r="T101" s="212"/>
      <c r="U101" s="212"/>
      <c r="V101" s="212"/>
      <c r="W101" s="5" t="s">
        <v>14</v>
      </c>
      <c r="X101" s="212" t="s">
        <v>23</v>
      </c>
      <c r="Y101" s="212"/>
      <c r="Z101" s="212"/>
      <c r="AA101" s="212"/>
      <c r="AB101" s="212"/>
      <c r="AC101" s="5" t="s">
        <v>14</v>
      </c>
      <c r="AD101" s="212" t="s">
        <v>24</v>
      </c>
      <c r="AE101" s="212"/>
      <c r="AF101" s="212"/>
      <c r="AG101" s="212"/>
      <c r="AH101" s="212"/>
      <c r="AI101" s="212"/>
      <c r="AJ101" s="5" t="s">
        <v>14</v>
      </c>
      <c r="AK101" s="212" t="s">
        <v>25</v>
      </c>
      <c r="AL101" s="212"/>
      <c r="AM101" s="212"/>
      <c r="AN101" s="212"/>
      <c r="AO101" s="212"/>
      <c r="AP101" s="212"/>
      <c r="AQ101" s="212"/>
      <c r="AR101" s="109"/>
      <c r="AS101" s="109"/>
      <c r="AV101" s="8"/>
      <c r="AW101" s="125"/>
      <c r="AX101" s="125"/>
      <c r="AY101" s="101"/>
      <c r="AZ101" s="101"/>
      <c r="BA101" s="101"/>
      <c r="BB101" s="101"/>
      <c r="BD101" s="31">
        <v>10</v>
      </c>
      <c r="BE101" s="31" t="s">
        <v>106</v>
      </c>
    </row>
    <row r="102" spans="1:57" hidden="1" x14ac:dyDescent="0.15">
      <c r="B102" s="221"/>
      <c r="C102" s="221"/>
      <c r="D102" s="221"/>
      <c r="E102" s="221"/>
      <c r="F102" s="106"/>
      <c r="G102" s="106"/>
      <c r="H102" s="106"/>
      <c r="I102" s="106"/>
      <c r="J102" s="106"/>
      <c r="K102" s="106"/>
      <c r="AV102" s="8"/>
      <c r="AW102" s="125"/>
      <c r="AX102" s="125"/>
      <c r="AY102" s="101"/>
      <c r="AZ102" s="101"/>
      <c r="BA102" s="101"/>
      <c r="BB102" s="101"/>
    </row>
    <row r="103" spans="1:57" ht="13.5" hidden="1" customHeight="1" x14ac:dyDescent="0.15">
      <c r="F103" s="226" t="s">
        <v>41</v>
      </c>
      <c r="G103" s="226"/>
      <c r="H103" s="226"/>
      <c r="I103" s="226"/>
      <c r="J103" s="226"/>
      <c r="K103" s="226"/>
      <c r="L103" s="227">
        <f ca="1">IF(ISERROR(ROUND(+L101*0.1,0)),"",ROUND(+L101*0.1,0))</f>
        <v>0</v>
      </c>
      <c r="M103" s="227"/>
      <c r="N103" s="227"/>
      <c r="O103" s="227"/>
      <c r="P103" s="227"/>
      <c r="Q103" s="39"/>
      <c r="R103" s="212" t="s">
        <v>94</v>
      </c>
      <c r="S103" s="212"/>
      <c r="T103" s="212"/>
      <c r="U103" s="212"/>
      <c r="V103" s="212"/>
      <c r="X103" s="212" t="s">
        <v>109</v>
      </c>
      <c r="Y103" s="212"/>
      <c r="Z103" s="212"/>
      <c r="AA103" s="212"/>
      <c r="AB103" s="212"/>
      <c r="AC103" s="38"/>
      <c r="AD103" s="212" t="s">
        <v>95</v>
      </c>
      <c r="AE103" s="212"/>
      <c r="AF103" s="212"/>
      <c r="AG103" s="212"/>
      <c r="AH103" s="212"/>
      <c r="AI103" s="212"/>
      <c r="AJ103" s="38"/>
      <c r="AK103" s="212" t="s">
        <v>96</v>
      </c>
      <c r="AL103" s="212"/>
      <c r="AM103" s="212"/>
      <c r="AN103" s="212"/>
      <c r="AO103" s="212"/>
      <c r="AP103" s="212"/>
      <c r="AQ103" s="212"/>
      <c r="AR103" s="60"/>
      <c r="AS103" s="17"/>
      <c r="AV103" s="8"/>
      <c r="AW103" s="127"/>
      <c r="AX103" s="125"/>
      <c r="AY103" s="101"/>
      <c r="AZ103" s="101"/>
      <c r="BA103" s="101"/>
      <c r="BB103" s="101"/>
    </row>
    <row r="104" spans="1:57" ht="5.25" hidden="1" customHeight="1" thickBot="1" x14ac:dyDescent="0.2">
      <c r="F104" s="226"/>
      <c r="G104" s="226"/>
      <c r="H104" s="226"/>
      <c r="I104" s="226"/>
      <c r="J104" s="226"/>
      <c r="K104" s="226"/>
      <c r="L104" s="61"/>
      <c r="M104" s="61"/>
      <c r="N104" s="61"/>
      <c r="O104" s="61"/>
      <c r="P104" s="61"/>
      <c r="AQ104" s="1"/>
      <c r="AV104" s="8"/>
      <c r="AW104" s="125"/>
      <c r="AX104" s="125"/>
      <c r="AY104" s="101"/>
      <c r="AZ104" s="101"/>
      <c r="BA104" s="101"/>
      <c r="BB104" s="101"/>
    </row>
    <row r="105" spans="1:57" ht="14.25" hidden="1" thickTop="1" x14ac:dyDescent="0.15">
      <c r="F105" s="209" t="s">
        <v>43</v>
      </c>
      <c r="G105" s="209"/>
      <c r="H105" s="209"/>
      <c r="I105" s="209"/>
      <c r="J105" s="209"/>
      <c r="K105" s="209"/>
      <c r="L105" s="247">
        <f ca="1">IF(ISERROR(+L101+L103),"",+L101+L103)</f>
        <v>0</v>
      </c>
      <c r="M105" s="247"/>
      <c r="N105" s="247"/>
      <c r="O105" s="247"/>
      <c r="P105" s="247"/>
      <c r="R105" s="241">
        <f ca="1">IF(AF46&gt;AB53,AB53,AF46)</f>
        <v>0</v>
      </c>
      <c r="S105" s="241"/>
      <c r="T105" s="241"/>
      <c r="U105" s="241"/>
      <c r="V105" s="241"/>
      <c r="W105" s="117" t="s">
        <v>14</v>
      </c>
      <c r="X105" s="243">
        <f ca="1">IF(AQ33=0,0,IF(BA91=TRUE,AO62,AI61))</f>
        <v>0</v>
      </c>
      <c r="Y105" s="243"/>
      <c r="Z105" s="243"/>
      <c r="AA105" s="243"/>
      <c r="AB105" s="243"/>
      <c r="AC105" s="117" t="s">
        <v>14</v>
      </c>
      <c r="AD105" s="243">
        <f>IF(BA78=FALSE,0,+P80)</f>
        <v>0</v>
      </c>
      <c r="AE105" s="243"/>
      <c r="AF105" s="243"/>
      <c r="AG105" s="243"/>
      <c r="AH105" s="243"/>
      <c r="AI105" s="243"/>
      <c r="AJ105" s="117" t="s">
        <v>14</v>
      </c>
      <c r="AK105" s="243">
        <f>IF(BA91=FALSE,0,AA95)</f>
        <v>0</v>
      </c>
      <c r="AL105" s="243"/>
      <c r="AM105" s="243"/>
      <c r="AN105" s="243"/>
      <c r="AO105" s="243"/>
      <c r="AP105" s="243"/>
      <c r="AQ105" s="7"/>
      <c r="AV105" s="8"/>
      <c r="AW105" s="125"/>
      <c r="AX105" s="125"/>
      <c r="AY105" s="101"/>
      <c r="AZ105" s="101"/>
      <c r="BA105" s="101"/>
      <c r="BB105" s="101"/>
    </row>
    <row r="106" spans="1:57" ht="21" hidden="1" x14ac:dyDescent="0.15">
      <c r="F106" s="245"/>
      <c r="G106" s="245"/>
      <c r="H106" s="245"/>
      <c r="I106" s="245"/>
      <c r="J106" s="245"/>
      <c r="K106" s="245"/>
      <c r="L106" s="248"/>
      <c r="M106" s="248"/>
      <c r="N106" s="248"/>
      <c r="O106" s="248"/>
      <c r="P106" s="248"/>
      <c r="Q106" s="62"/>
      <c r="R106" s="4"/>
      <c r="S106" s="63"/>
      <c r="T106" s="63"/>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64"/>
      <c r="AS106" s="65"/>
      <c r="AT106" s="65"/>
      <c r="AV106" s="8"/>
      <c r="AW106" s="125"/>
      <c r="AX106" s="125"/>
      <c r="AY106" s="101"/>
      <c r="AZ106" s="101"/>
      <c r="BA106" s="101"/>
      <c r="BB106" s="101"/>
    </row>
    <row r="107" spans="1:57" x14ac:dyDescent="0.15">
      <c r="AV107" s="8"/>
      <c r="AW107" s="125"/>
      <c r="AX107" s="125"/>
      <c r="AY107" s="101"/>
      <c r="AZ107" s="101"/>
      <c r="BA107" s="101"/>
      <c r="BB107" s="101"/>
    </row>
    <row r="108" spans="1:57" x14ac:dyDescent="0.15">
      <c r="F108" s="38"/>
      <c r="G108" s="38"/>
      <c r="H108" s="38"/>
      <c r="I108" s="38"/>
      <c r="J108" s="38"/>
      <c r="K108" s="38"/>
      <c r="L108" s="38"/>
      <c r="M108" s="38"/>
      <c r="N108" s="38"/>
      <c r="O108" s="38"/>
      <c r="P108" s="38"/>
      <c r="Q108" s="38"/>
      <c r="R108" s="212"/>
      <c r="S108" s="212"/>
      <c r="T108" s="212"/>
      <c r="U108" s="212"/>
      <c r="V108" s="212"/>
      <c r="X108" s="212"/>
      <c r="Y108" s="212"/>
      <c r="Z108" s="212"/>
      <c r="AA108" s="212"/>
      <c r="AB108" s="212"/>
      <c r="AD108" s="212"/>
      <c r="AE108" s="212"/>
      <c r="AF108" s="212"/>
      <c r="AG108" s="212"/>
      <c r="AH108" s="212"/>
      <c r="AI108" s="212"/>
      <c r="AK108" s="212"/>
      <c r="AL108" s="212"/>
      <c r="AM108" s="212"/>
      <c r="AN108" s="212"/>
      <c r="AO108" s="212"/>
      <c r="AP108" s="212"/>
      <c r="AQ108" s="212"/>
      <c r="AV108" s="20"/>
      <c r="AW108" s="125"/>
      <c r="AX108" s="125"/>
      <c r="AY108" s="101"/>
      <c r="AZ108" s="101"/>
      <c r="BA108" s="101"/>
      <c r="BB108" s="101"/>
    </row>
    <row r="109" spans="1:57" x14ac:dyDescent="0.15">
      <c r="B109" s="221" t="s">
        <v>108</v>
      </c>
      <c r="C109" s="221"/>
      <c r="D109" s="221"/>
      <c r="E109" s="221"/>
      <c r="F109" s="38"/>
      <c r="G109" s="38"/>
      <c r="H109" s="226" t="s">
        <v>42</v>
      </c>
      <c r="I109" s="226"/>
      <c r="J109" s="226"/>
      <c r="K109" s="226"/>
      <c r="L109" s="225">
        <f ca="1">IF(ISERROR(+R$113+X$113+AD$113+AK$113),"",+R$113+X$113+AD$113+AK$113)</f>
        <v>166592</v>
      </c>
      <c r="M109" s="225"/>
      <c r="N109" s="225"/>
      <c r="O109" s="225"/>
      <c r="P109" s="225"/>
      <c r="Q109" s="38"/>
      <c r="R109" s="212" t="s">
        <v>1</v>
      </c>
      <c r="S109" s="212"/>
      <c r="T109" s="212"/>
      <c r="U109" s="212"/>
      <c r="V109" s="212"/>
      <c r="W109" s="5" t="s">
        <v>14</v>
      </c>
      <c r="X109" s="212" t="s">
        <v>23</v>
      </c>
      <c r="Y109" s="212"/>
      <c r="Z109" s="212"/>
      <c r="AA109" s="212"/>
      <c r="AB109" s="212"/>
      <c r="AC109" s="5" t="s">
        <v>14</v>
      </c>
      <c r="AD109" s="212" t="s">
        <v>24</v>
      </c>
      <c r="AE109" s="212"/>
      <c r="AF109" s="212"/>
      <c r="AG109" s="212"/>
      <c r="AH109" s="212"/>
      <c r="AI109" s="212"/>
      <c r="AJ109" s="5" t="s">
        <v>14</v>
      </c>
      <c r="AK109" s="212" t="s">
        <v>25</v>
      </c>
      <c r="AL109" s="212"/>
      <c r="AM109" s="212"/>
      <c r="AN109" s="212"/>
      <c r="AO109" s="212"/>
      <c r="AP109" s="212"/>
      <c r="AQ109" s="212"/>
      <c r="AR109" s="109"/>
      <c r="AS109" s="109"/>
      <c r="AT109" s="109"/>
      <c r="AU109" s="109"/>
      <c r="AV109" s="118"/>
      <c r="AW109" s="125"/>
      <c r="AX109" s="128"/>
      <c r="AY109" s="101"/>
      <c r="AZ109" s="101"/>
      <c r="BA109" s="101"/>
      <c r="BB109" s="101"/>
    </row>
    <row r="110" spans="1:57" x14ac:dyDescent="0.15">
      <c r="B110" s="221"/>
      <c r="C110" s="221"/>
      <c r="D110" s="221"/>
      <c r="E110" s="221"/>
      <c r="F110" s="106"/>
      <c r="G110" s="106"/>
      <c r="H110" s="106"/>
      <c r="I110" s="106"/>
      <c r="J110" s="106"/>
      <c r="K110" s="106"/>
      <c r="Q110" s="106"/>
      <c r="R110" s="212"/>
      <c r="S110" s="212"/>
      <c r="T110" s="212"/>
      <c r="U110" s="212"/>
      <c r="V110" s="212"/>
      <c r="X110" s="212"/>
      <c r="Y110" s="212"/>
      <c r="Z110" s="212"/>
      <c r="AA110" s="212"/>
      <c r="AB110" s="212"/>
      <c r="AD110" s="212"/>
      <c r="AE110" s="212"/>
      <c r="AF110" s="212"/>
      <c r="AG110" s="212"/>
      <c r="AH110" s="212"/>
      <c r="AI110" s="212"/>
      <c r="AK110" s="212"/>
      <c r="AL110" s="212"/>
      <c r="AM110" s="212"/>
      <c r="AN110" s="212"/>
      <c r="AO110" s="212"/>
      <c r="AP110" s="212"/>
      <c r="AQ110" s="212"/>
      <c r="AV110" s="8"/>
      <c r="AW110" s="125"/>
      <c r="AX110" s="125"/>
      <c r="AY110" s="101"/>
      <c r="AZ110" s="101"/>
      <c r="BA110" s="101"/>
      <c r="BB110" s="101"/>
    </row>
    <row r="111" spans="1:57" x14ac:dyDescent="0.15">
      <c r="F111" s="226" t="s">
        <v>41</v>
      </c>
      <c r="G111" s="226"/>
      <c r="H111" s="226"/>
      <c r="I111" s="226"/>
      <c r="J111" s="226"/>
      <c r="K111" s="226"/>
      <c r="L111" s="227">
        <f ca="1">IF(ISERROR(ROUND(+L109*0.1,0)),"",ROUND(+L109*0.1,0))</f>
        <v>16659</v>
      </c>
      <c r="M111" s="227"/>
      <c r="N111" s="227"/>
      <c r="O111" s="227"/>
      <c r="P111" s="227"/>
      <c r="Q111" s="106"/>
      <c r="R111" s="212"/>
      <c r="S111" s="212"/>
      <c r="T111" s="212"/>
      <c r="U111" s="212"/>
      <c r="V111" s="212"/>
      <c r="X111" s="212"/>
      <c r="Y111" s="212"/>
      <c r="Z111" s="212"/>
      <c r="AA111" s="212"/>
      <c r="AB111" s="212"/>
      <c r="AC111" s="38"/>
      <c r="AD111" s="212"/>
      <c r="AE111" s="212"/>
      <c r="AF111" s="212"/>
      <c r="AG111" s="212"/>
      <c r="AH111" s="212"/>
      <c r="AI111" s="212"/>
      <c r="AK111" s="212"/>
      <c r="AL111" s="212"/>
      <c r="AM111" s="212"/>
      <c r="AN111" s="212"/>
      <c r="AO111" s="212"/>
      <c r="AP111" s="212"/>
      <c r="AQ111" s="212"/>
      <c r="AR111" s="39"/>
      <c r="AS111" s="17"/>
      <c r="AT111" s="17"/>
      <c r="AU111" s="17"/>
      <c r="AV111" s="22"/>
      <c r="AW111" s="127"/>
      <c r="AX111" s="127"/>
      <c r="AY111" s="101"/>
      <c r="AZ111" s="101"/>
      <c r="BA111" s="101"/>
      <c r="BB111" s="101"/>
    </row>
    <row r="112" spans="1:57" ht="14.25" thickBot="1" x14ac:dyDescent="0.2">
      <c r="F112" s="106"/>
      <c r="G112" s="106"/>
      <c r="H112" s="106"/>
      <c r="I112" s="106"/>
      <c r="J112" s="106"/>
      <c r="K112" s="106"/>
      <c r="L112" s="61"/>
      <c r="M112" s="61"/>
      <c r="N112" s="61"/>
      <c r="O112" s="61"/>
      <c r="P112" s="61"/>
      <c r="Q112" s="106"/>
      <c r="AQ112" s="1"/>
      <c r="AV112" s="8"/>
      <c r="AW112" s="125"/>
      <c r="AX112" s="125"/>
      <c r="AY112" s="101"/>
      <c r="AZ112" s="101"/>
      <c r="BA112" s="101"/>
      <c r="BB112" s="101"/>
    </row>
    <row r="113" spans="2:55" ht="14.25" thickTop="1" x14ac:dyDescent="0.15">
      <c r="F113" s="209" t="s">
        <v>43</v>
      </c>
      <c r="G113" s="209"/>
      <c r="H113" s="209"/>
      <c r="I113" s="209"/>
      <c r="J113" s="209"/>
      <c r="K113" s="209"/>
      <c r="L113" s="247">
        <f ca="1">IF(ISERROR(+L109+L111),"",+L109+L111)</f>
        <v>183251</v>
      </c>
      <c r="M113" s="247"/>
      <c r="N113" s="247"/>
      <c r="O113" s="247"/>
      <c r="P113" s="247"/>
      <c r="Q113" s="104"/>
      <c r="R113" s="241">
        <f ca="1">AF48</f>
        <v>163960</v>
      </c>
      <c r="S113" s="241"/>
      <c r="T113" s="241"/>
      <c r="U113" s="241"/>
      <c r="V113" s="241"/>
      <c r="W113" s="117" t="s">
        <v>14</v>
      </c>
      <c r="X113" s="243">
        <f ca="1">IF(AQ33=0,0,IF(BA91=TRUE,AO72,AI71))</f>
        <v>2632</v>
      </c>
      <c r="Y113" s="243"/>
      <c r="Z113" s="243"/>
      <c r="AA113" s="243"/>
      <c r="AB113" s="243"/>
      <c r="AC113" s="117" t="s">
        <v>14</v>
      </c>
      <c r="AD113" s="243">
        <f>IF(BA78=FALSE,0,+P84)</f>
        <v>0</v>
      </c>
      <c r="AE113" s="243"/>
      <c r="AF113" s="243"/>
      <c r="AG113" s="243"/>
      <c r="AH113" s="243"/>
      <c r="AI113" s="243"/>
      <c r="AJ113" s="117" t="s">
        <v>14</v>
      </c>
      <c r="AK113" s="243">
        <f>IF(BA91=FALSE,0,AA98)</f>
        <v>0</v>
      </c>
      <c r="AL113" s="243"/>
      <c r="AM113" s="243"/>
      <c r="AN113" s="243"/>
      <c r="AO113" s="243"/>
      <c r="AP113" s="243"/>
      <c r="AQ113" s="7"/>
      <c r="AV113" s="8"/>
      <c r="AW113" s="125"/>
      <c r="AX113" s="125"/>
      <c r="AY113" s="101"/>
      <c r="AZ113" s="101"/>
      <c r="BA113" s="101"/>
      <c r="BB113" s="101"/>
    </row>
    <row r="114" spans="2:55" x14ac:dyDescent="0.15">
      <c r="F114" s="245"/>
      <c r="G114" s="245"/>
      <c r="H114" s="245"/>
      <c r="I114" s="245"/>
      <c r="J114" s="245"/>
      <c r="K114" s="245"/>
      <c r="L114" s="248"/>
      <c r="M114" s="248"/>
      <c r="N114" s="248"/>
      <c r="O114" s="248"/>
      <c r="P114" s="248"/>
      <c r="Q114" s="105"/>
      <c r="R114" s="4"/>
      <c r="S114" s="4"/>
      <c r="T114" s="4"/>
      <c r="U114" s="4"/>
      <c r="V114" s="4"/>
      <c r="W114" s="4"/>
      <c r="X114" s="4"/>
      <c r="Y114" s="4"/>
      <c r="Z114" s="4"/>
      <c r="AA114" s="4"/>
      <c r="AB114" s="4"/>
      <c r="AC114" s="4"/>
      <c r="AD114" s="4"/>
      <c r="AE114" s="4"/>
      <c r="AF114" s="4"/>
      <c r="AG114" s="4"/>
      <c r="AH114" s="4"/>
      <c r="AI114" s="4"/>
      <c r="AJ114" s="4"/>
      <c r="AK114" s="4"/>
      <c r="AL114" s="4"/>
      <c r="AM114" s="4"/>
      <c r="AN114" s="4"/>
      <c r="AO114" s="64"/>
      <c r="AP114" s="64"/>
      <c r="AQ114" s="64"/>
      <c r="AR114" s="8"/>
      <c r="AV114" s="8"/>
      <c r="AW114" s="125"/>
      <c r="AX114" s="125"/>
      <c r="AY114" s="101"/>
      <c r="AZ114" s="101"/>
      <c r="BA114" s="101"/>
      <c r="BB114" s="101"/>
    </row>
    <row r="115" spans="2:55" x14ac:dyDescent="0.15">
      <c r="AV115" s="8"/>
      <c r="AW115" s="125"/>
      <c r="AX115" s="125"/>
      <c r="AY115" s="101"/>
      <c r="AZ115" s="101"/>
      <c r="BA115" s="101"/>
      <c r="BB115" s="101"/>
    </row>
    <row r="116" spans="2:55" ht="24" x14ac:dyDescent="0.15">
      <c r="B116" s="66" t="str">
        <f ca="1">IF(L105="","","この運送の基準額は、")</f>
        <v>この運送の基準額は、</v>
      </c>
      <c r="C116" s="67"/>
      <c r="D116" s="67"/>
      <c r="E116" s="51"/>
      <c r="F116" s="51"/>
      <c r="G116" s="67"/>
      <c r="H116" s="67"/>
      <c r="I116" s="67"/>
      <c r="J116" s="51"/>
      <c r="K116" s="220">
        <f ca="1">IF(L105="","",L113)</f>
        <v>183251</v>
      </c>
      <c r="L116" s="220"/>
      <c r="M116" s="220"/>
      <c r="N116" s="220"/>
      <c r="O116" s="220"/>
      <c r="P116" s="220"/>
      <c r="Q116" s="129" t="str">
        <f ca="1">IF(L105="","","です。")</f>
        <v>です。</v>
      </c>
      <c r="R116" s="67"/>
      <c r="S116" s="67"/>
      <c r="T116" s="67"/>
      <c r="U116" s="67"/>
      <c r="V116" s="67"/>
      <c r="W116" s="220"/>
      <c r="X116" s="220"/>
      <c r="Y116" s="220"/>
      <c r="Z116" s="220"/>
      <c r="AA116" s="220"/>
      <c r="AB116" s="220"/>
      <c r="AC116" s="66"/>
      <c r="AD116" s="67"/>
      <c r="AE116" s="67"/>
      <c r="AF116" s="67"/>
      <c r="AG116" s="67"/>
      <c r="AH116" s="68"/>
      <c r="AI116" s="68"/>
      <c r="AJ116" s="68"/>
      <c r="AK116" s="68"/>
      <c r="AL116" s="68"/>
      <c r="AM116" s="68"/>
      <c r="AN116" s="68"/>
      <c r="AO116" s="68"/>
      <c r="AP116" s="68"/>
      <c r="AQ116" s="68"/>
      <c r="AR116" s="68"/>
      <c r="AS116" s="68"/>
      <c r="AT116" s="68"/>
      <c r="AU116" s="68"/>
      <c r="AV116" s="8"/>
      <c r="AW116" s="125"/>
      <c r="AX116" s="125"/>
      <c r="AY116" s="101"/>
      <c r="AZ116" s="101"/>
      <c r="BA116" s="101"/>
      <c r="BB116" s="101"/>
    </row>
    <row r="117" spans="2:55" ht="21" x14ac:dyDescent="0.15">
      <c r="B117" s="246" t="str">
        <f ca="1">IF(L105="","","実際の運賃・料金がこの下限額を下回っている場合は、運賃料金の届出に違反しているおそれがあります。")</f>
        <v>実際の運賃・料金がこの下限額を下回っている場合は、運賃料金の届出に違反しているおそれがあります。</v>
      </c>
      <c r="C117" s="246"/>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246"/>
      <c r="AS117" s="246"/>
      <c r="AT117" s="246"/>
      <c r="AU117" s="246"/>
      <c r="AV117" s="8"/>
      <c r="AW117" s="125"/>
      <c r="AX117" s="125"/>
      <c r="AY117" s="125"/>
      <c r="AZ117" s="125"/>
      <c r="BA117" s="125"/>
      <c r="BB117" s="125"/>
    </row>
    <row r="118" spans="2:55" ht="21.75" hidden="1" customHeight="1" x14ac:dyDescent="0.15">
      <c r="AY118" s="125"/>
      <c r="AZ118" s="125"/>
      <c r="BA118" s="126"/>
      <c r="BB118" s="125"/>
    </row>
    <row r="119" spans="2:55" hidden="1" x14ac:dyDescent="0.15">
      <c r="AY119" s="128"/>
      <c r="AZ119" s="128"/>
      <c r="BA119" s="128"/>
      <c r="BB119" s="125"/>
    </row>
    <row r="120" spans="2:55" hidden="1" x14ac:dyDescent="0.15">
      <c r="AY120" s="125"/>
      <c r="AZ120" s="125"/>
      <c r="BA120" s="125"/>
      <c r="BB120" s="125"/>
    </row>
    <row r="121" spans="2:55" hidden="1" x14ac:dyDescent="0.15">
      <c r="AY121" s="127"/>
      <c r="AZ121" s="127"/>
      <c r="BA121" s="127"/>
      <c r="BB121" s="127"/>
      <c r="BC121" s="139"/>
    </row>
    <row r="122" spans="2:55" hidden="1" x14ac:dyDescent="0.15">
      <c r="AY122" s="125"/>
      <c r="AZ122" s="125"/>
      <c r="BA122" s="125"/>
      <c r="BB122" s="125"/>
    </row>
    <row r="123" spans="2:55" hidden="1" x14ac:dyDescent="0.15">
      <c r="AY123" s="125"/>
      <c r="AZ123" s="125"/>
      <c r="BA123" s="125"/>
      <c r="BB123" s="125"/>
    </row>
    <row r="124" spans="2:55" hidden="1" x14ac:dyDescent="0.15">
      <c r="AY124" s="125"/>
      <c r="AZ124" s="125"/>
      <c r="BA124" s="125"/>
      <c r="BB124" s="125"/>
    </row>
    <row r="125" spans="2:55" hidden="1" x14ac:dyDescent="0.15">
      <c r="AY125" s="125"/>
      <c r="AZ125" s="125"/>
      <c r="BA125" s="125"/>
      <c r="BB125" s="125"/>
    </row>
    <row r="126" spans="2:55" ht="5.25" hidden="1" customHeight="1" x14ac:dyDescent="0.15">
      <c r="AY126" s="125"/>
      <c r="AZ126" s="125"/>
      <c r="BA126" s="125"/>
      <c r="BB126" s="125"/>
    </row>
    <row r="127" spans="2:55" ht="6.75" hidden="1" customHeight="1" x14ac:dyDescent="0.15">
      <c r="AY127" s="125"/>
      <c r="AZ127" s="125"/>
      <c r="BA127" s="125"/>
      <c r="BB127" s="125"/>
    </row>
  </sheetData>
  <sheetProtection algorithmName="SHA-512" hashValue="gF2DsQ7wsyshgxuGeAQjp9mgh2EQiThuhOokQ13TitMjyyh8T7vOKsM3V7oQBjdiNBL5ggB5viAYT3TvKE5Xbw==" saltValue="YiIjwZOURpgeUy+3OFds3A==" spinCount="100000" sheet="1" selectLockedCells="1"/>
  <protectedRanges>
    <protectedRange password="CA41" sqref="N39 L13 O13 T13 W13 L15 O15 T15 W15 L17 O17 T17 W17 L31 O31 T31 W31 L27 O27 T27 W27 L25 O25 T25 W25 L23 O23 T23 W23 L21 O21 T21 W21 L19 O19 T19 W19 L29 O29 T29 W29" name="範囲1"/>
    <protectedRange sqref="Q77:R77" name="範囲2"/>
  </protectedRanges>
  <mergeCells count="427">
    <mergeCell ref="K116:P116"/>
    <mergeCell ref="W116:AB116"/>
    <mergeCell ref="B117:AU117"/>
    <mergeCell ref="F113:K114"/>
    <mergeCell ref="L113:P114"/>
    <mergeCell ref="R113:V113"/>
    <mergeCell ref="X113:AB113"/>
    <mergeCell ref="AD113:AI113"/>
    <mergeCell ref="AK113:AP113"/>
    <mergeCell ref="F111:K111"/>
    <mergeCell ref="L111:P111"/>
    <mergeCell ref="R111:V111"/>
    <mergeCell ref="X111:AB111"/>
    <mergeCell ref="AD111:AI111"/>
    <mergeCell ref="AK111:AQ111"/>
    <mergeCell ref="AD109:AI109"/>
    <mergeCell ref="AK109:AQ109"/>
    <mergeCell ref="R110:V110"/>
    <mergeCell ref="X110:AB110"/>
    <mergeCell ref="AD110:AI110"/>
    <mergeCell ref="AK110:AQ110"/>
    <mergeCell ref="R108:V108"/>
    <mergeCell ref="X108:AB108"/>
    <mergeCell ref="AD108:AI108"/>
    <mergeCell ref="AK108:AQ108"/>
    <mergeCell ref="B109:E110"/>
    <mergeCell ref="H109:K109"/>
    <mergeCell ref="L109:P109"/>
    <mergeCell ref="R109:V109"/>
    <mergeCell ref="X109:AB109"/>
    <mergeCell ref="F104:K104"/>
    <mergeCell ref="F105:K106"/>
    <mergeCell ref="L105:P106"/>
    <mergeCell ref="R105:V105"/>
    <mergeCell ref="X105:AB105"/>
    <mergeCell ref="AD105:AI105"/>
    <mergeCell ref="AK101:AQ101"/>
    <mergeCell ref="F103:K103"/>
    <mergeCell ref="L103:P103"/>
    <mergeCell ref="R103:V103"/>
    <mergeCell ref="X103:AB103"/>
    <mergeCell ref="AD103:AI103"/>
    <mergeCell ref="AK103:AQ103"/>
    <mergeCell ref="AK105:AP105"/>
    <mergeCell ref="AA98:AG98"/>
    <mergeCell ref="B101:E102"/>
    <mergeCell ref="H101:K101"/>
    <mergeCell ref="L101:P101"/>
    <mergeCell ref="R101:V101"/>
    <mergeCell ref="X101:AB101"/>
    <mergeCell ref="AD101:AI101"/>
    <mergeCell ref="J97:L97"/>
    <mergeCell ref="N97:P97"/>
    <mergeCell ref="R97:U97"/>
    <mergeCell ref="W97:Y97"/>
    <mergeCell ref="J98:L98"/>
    <mergeCell ref="N98:P98"/>
    <mergeCell ref="R98:U98"/>
    <mergeCell ref="W98:Y98"/>
    <mergeCell ref="W94:Y94"/>
    <mergeCell ref="J95:L95"/>
    <mergeCell ref="N95:P95"/>
    <mergeCell ref="R95:U95"/>
    <mergeCell ref="W95:Y95"/>
    <mergeCell ref="AA95:AG95"/>
    <mergeCell ref="G92:I92"/>
    <mergeCell ref="J92:L92"/>
    <mergeCell ref="N92:P92"/>
    <mergeCell ref="J94:L94"/>
    <mergeCell ref="N94:P94"/>
    <mergeCell ref="R94:U94"/>
    <mergeCell ref="D87:T88"/>
    <mergeCell ref="J89:L89"/>
    <mergeCell ref="N89:P89"/>
    <mergeCell ref="G90:I90"/>
    <mergeCell ref="J90:L90"/>
    <mergeCell ref="N90:P90"/>
    <mergeCell ref="F83:J83"/>
    <mergeCell ref="L83:M83"/>
    <mergeCell ref="P83:V83"/>
    <mergeCell ref="F84:J84"/>
    <mergeCell ref="L84:M84"/>
    <mergeCell ref="P84:V84"/>
    <mergeCell ref="F80:J80"/>
    <mergeCell ref="L80:M80"/>
    <mergeCell ref="P80:V80"/>
    <mergeCell ref="F81:J81"/>
    <mergeCell ref="L81:M81"/>
    <mergeCell ref="P81:V81"/>
    <mergeCell ref="G77:H77"/>
    <mergeCell ref="M77:N77"/>
    <mergeCell ref="Q77:R77"/>
    <mergeCell ref="T77:AG77"/>
    <mergeCell ref="G79:J79"/>
    <mergeCell ref="L79:M79"/>
    <mergeCell ref="U71:X71"/>
    <mergeCell ref="Z71:AA71"/>
    <mergeCell ref="AC71:AG71"/>
    <mergeCell ref="AI71:AM71"/>
    <mergeCell ref="U72:X72"/>
    <mergeCell ref="Z72:AA72"/>
    <mergeCell ref="AC72:AG72"/>
    <mergeCell ref="AI72:AM72"/>
    <mergeCell ref="AO72:AS72"/>
    <mergeCell ref="U68:X68"/>
    <mergeCell ref="Z68:AA68"/>
    <mergeCell ref="AC68:AG68"/>
    <mergeCell ref="AI68:AM68"/>
    <mergeCell ref="U69:X69"/>
    <mergeCell ref="Z69:AA69"/>
    <mergeCell ref="AC69:AG69"/>
    <mergeCell ref="AI69:AM69"/>
    <mergeCell ref="AO62:AS62"/>
    <mergeCell ref="U64:X64"/>
    <mergeCell ref="Z64:AA64"/>
    <mergeCell ref="AC64:AG64"/>
    <mergeCell ref="AI64:AM64"/>
    <mergeCell ref="U65:X65"/>
    <mergeCell ref="Z65:AA65"/>
    <mergeCell ref="AC65:AG65"/>
    <mergeCell ref="AI65:AM65"/>
    <mergeCell ref="AO65:AS65"/>
    <mergeCell ref="AO69:AS69"/>
    <mergeCell ref="U61:X61"/>
    <mergeCell ref="Z61:AA61"/>
    <mergeCell ref="AC61:AG61"/>
    <mergeCell ref="AI61:AM61"/>
    <mergeCell ref="U62:X62"/>
    <mergeCell ref="Z62:AA62"/>
    <mergeCell ref="AC62:AG62"/>
    <mergeCell ref="AI62:AM62"/>
    <mergeCell ref="V51:Z51"/>
    <mergeCell ref="O53:V53"/>
    <mergeCell ref="X53:Z53"/>
    <mergeCell ref="AB53:AH53"/>
    <mergeCell ref="F58:G58"/>
    <mergeCell ref="J58:K58"/>
    <mergeCell ref="U58:X58"/>
    <mergeCell ref="Y58:AA58"/>
    <mergeCell ref="AC58:AH58"/>
    <mergeCell ref="K48:M48"/>
    <mergeCell ref="O48:Q48"/>
    <mergeCell ref="U48:W48"/>
    <mergeCell ref="Y48:AB48"/>
    <mergeCell ref="AF48:AK48"/>
    <mergeCell ref="I50:K51"/>
    <mergeCell ref="L50:O50"/>
    <mergeCell ref="Q50:T50"/>
    <mergeCell ref="L51:O51"/>
    <mergeCell ref="Q51:T51"/>
    <mergeCell ref="AD34:AS34"/>
    <mergeCell ref="N36:P36"/>
    <mergeCell ref="R36:S36"/>
    <mergeCell ref="BN36:BP36"/>
    <mergeCell ref="CC31:CD31"/>
    <mergeCell ref="CF31:CH31"/>
    <mergeCell ref="CJ31:CL31"/>
    <mergeCell ref="Y45:AB45"/>
    <mergeCell ref="K46:M46"/>
    <mergeCell ref="O46:Q46"/>
    <mergeCell ref="U46:W46"/>
    <mergeCell ref="Y46:AB46"/>
    <mergeCell ref="AF46:AK46"/>
    <mergeCell ref="N37:P37"/>
    <mergeCell ref="R37:T37"/>
    <mergeCell ref="N39:P39"/>
    <mergeCell ref="R39:S39"/>
    <mergeCell ref="T39:V39"/>
    <mergeCell ref="K45:M45"/>
    <mergeCell ref="U45:W45"/>
    <mergeCell ref="CN31:CP31"/>
    <mergeCell ref="W32:AN32"/>
    <mergeCell ref="U33:AE33"/>
    <mergeCell ref="AF33:AI33"/>
    <mergeCell ref="AK33:AP33"/>
    <mergeCell ref="AQ33:AT33"/>
    <mergeCell ref="BY33:CA33"/>
    <mergeCell ref="AN31:AP31"/>
    <mergeCell ref="AQ31:AR31"/>
    <mergeCell ref="BP31:BQ31"/>
    <mergeCell ref="BR31:BS31"/>
    <mergeCell ref="BU31:BW31"/>
    <mergeCell ref="BY31:CA31"/>
    <mergeCell ref="T31:U31"/>
    <mergeCell ref="W31:X31"/>
    <mergeCell ref="Z31:AA31"/>
    <mergeCell ref="AB31:AD31"/>
    <mergeCell ref="AF31:AH31"/>
    <mergeCell ref="AI31:AL31"/>
    <mergeCell ref="CC33:CD33"/>
    <mergeCell ref="CF33:CH33"/>
    <mergeCell ref="A31:C31"/>
    <mergeCell ref="G31:I31"/>
    <mergeCell ref="J31:K31"/>
    <mergeCell ref="L31:M31"/>
    <mergeCell ref="O31:P31"/>
    <mergeCell ref="R31:S31"/>
    <mergeCell ref="BY29:CA29"/>
    <mergeCell ref="CC29:CD29"/>
    <mergeCell ref="CF29:CH29"/>
    <mergeCell ref="R29:S29"/>
    <mergeCell ref="T29:U29"/>
    <mergeCell ref="W30:AN30"/>
    <mergeCell ref="AI29:AL29"/>
    <mergeCell ref="AN29:AP29"/>
    <mergeCell ref="AQ29:AR29"/>
    <mergeCell ref="BP29:BQ29"/>
    <mergeCell ref="BR29:BS29"/>
    <mergeCell ref="BU29:BW29"/>
    <mergeCell ref="W29:X29"/>
    <mergeCell ref="Z29:AA29"/>
    <mergeCell ref="AB29:AD29"/>
    <mergeCell ref="AF29:AH29"/>
    <mergeCell ref="CJ27:CL27"/>
    <mergeCell ref="CN27:CP27"/>
    <mergeCell ref="W28:AN28"/>
    <mergeCell ref="A29:C29"/>
    <mergeCell ref="G29:I29"/>
    <mergeCell ref="J29:K29"/>
    <mergeCell ref="L29:M29"/>
    <mergeCell ref="O29:P29"/>
    <mergeCell ref="AN27:AP27"/>
    <mergeCell ref="AQ27:AR27"/>
    <mergeCell ref="BP27:BQ27"/>
    <mergeCell ref="BR27:BS27"/>
    <mergeCell ref="BU27:BW27"/>
    <mergeCell ref="BY27:CA27"/>
    <mergeCell ref="T27:U27"/>
    <mergeCell ref="W27:X27"/>
    <mergeCell ref="Z27:AA27"/>
    <mergeCell ref="AB27:AD27"/>
    <mergeCell ref="AF27:AH27"/>
    <mergeCell ref="AI27:AL27"/>
    <mergeCell ref="A27:C27"/>
    <mergeCell ref="G27:I27"/>
    <mergeCell ref="CJ29:CL29"/>
    <mergeCell ref="CN29:CP29"/>
    <mergeCell ref="J27:K27"/>
    <mergeCell ref="L27:M27"/>
    <mergeCell ref="O27:P27"/>
    <mergeCell ref="R27:S27"/>
    <mergeCell ref="BY25:CA25"/>
    <mergeCell ref="CC25:CD25"/>
    <mergeCell ref="CF25:CH25"/>
    <mergeCell ref="CJ25:CL25"/>
    <mergeCell ref="CN25:CP25"/>
    <mergeCell ref="W26:AN26"/>
    <mergeCell ref="AI25:AL25"/>
    <mergeCell ref="AN25:AP25"/>
    <mergeCell ref="AQ25:AR25"/>
    <mergeCell ref="BP25:BQ25"/>
    <mergeCell ref="BR25:BS25"/>
    <mergeCell ref="BU25:BW25"/>
    <mergeCell ref="R25:S25"/>
    <mergeCell ref="T25:U25"/>
    <mergeCell ref="W25:X25"/>
    <mergeCell ref="Z25:AA25"/>
    <mergeCell ref="AB25:AD25"/>
    <mergeCell ref="AF25:AH25"/>
    <mergeCell ref="CC27:CD27"/>
    <mergeCell ref="CF27:CH27"/>
    <mergeCell ref="A25:C25"/>
    <mergeCell ref="G25:I25"/>
    <mergeCell ref="J25:K25"/>
    <mergeCell ref="L25:M25"/>
    <mergeCell ref="O25:P25"/>
    <mergeCell ref="AN23:AP23"/>
    <mergeCell ref="AQ23:AR23"/>
    <mergeCell ref="BP23:BQ23"/>
    <mergeCell ref="A23:C23"/>
    <mergeCell ref="G23:I23"/>
    <mergeCell ref="J23:K23"/>
    <mergeCell ref="L23:M23"/>
    <mergeCell ref="O23:P23"/>
    <mergeCell ref="R23:S23"/>
    <mergeCell ref="T23:U23"/>
    <mergeCell ref="W23:X23"/>
    <mergeCell ref="Z23:AA23"/>
    <mergeCell ref="AB23:AD23"/>
    <mergeCell ref="AF23:AH23"/>
    <mergeCell ref="AI23:AL23"/>
    <mergeCell ref="CN21:CP21"/>
    <mergeCell ref="W22:AN22"/>
    <mergeCell ref="AI21:AL21"/>
    <mergeCell ref="AN21:AP21"/>
    <mergeCell ref="AQ21:AR21"/>
    <mergeCell ref="BP21:BQ21"/>
    <mergeCell ref="BR21:BS21"/>
    <mergeCell ref="BU21:BW21"/>
    <mergeCell ref="W24:AN24"/>
    <mergeCell ref="BR23:BS23"/>
    <mergeCell ref="BU23:BW23"/>
    <mergeCell ref="BY23:CA23"/>
    <mergeCell ref="CN23:CP23"/>
    <mergeCell ref="CN19:CP19"/>
    <mergeCell ref="T21:U21"/>
    <mergeCell ref="W21:X21"/>
    <mergeCell ref="Z21:AA21"/>
    <mergeCell ref="AB21:AD21"/>
    <mergeCell ref="AF21:AH21"/>
    <mergeCell ref="CC23:CD23"/>
    <mergeCell ref="CF23:CH23"/>
    <mergeCell ref="CJ23:CL23"/>
    <mergeCell ref="BY21:CA21"/>
    <mergeCell ref="CC21:CD21"/>
    <mergeCell ref="CF21:CH21"/>
    <mergeCell ref="CJ21:CL21"/>
    <mergeCell ref="CC19:CD19"/>
    <mergeCell ref="CF19:CH19"/>
    <mergeCell ref="CJ19:CL19"/>
    <mergeCell ref="BR19:BS19"/>
    <mergeCell ref="BU19:BW19"/>
    <mergeCell ref="BY19:CA19"/>
    <mergeCell ref="T19:U19"/>
    <mergeCell ref="W19:X19"/>
    <mergeCell ref="Z19:AA19"/>
    <mergeCell ref="AB19:AD19"/>
    <mergeCell ref="AF19:AH19"/>
    <mergeCell ref="A21:C21"/>
    <mergeCell ref="G21:I21"/>
    <mergeCell ref="J21:K21"/>
    <mergeCell ref="L21:M21"/>
    <mergeCell ref="O21:P21"/>
    <mergeCell ref="AN19:AP19"/>
    <mergeCell ref="AQ19:AR19"/>
    <mergeCell ref="BP19:BQ19"/>
    <mergeCell ref="A19:C19"/>
    <mergeCell ref="G19:I19"/>
    <mergeCell ref="J19:K19"/>
    <mergeCell ref="L19:M19"/>
    <mergeCell ref="O19:P19"/>
    <mergeCell ref="R19:S19"/>
    <mergeCell ref="R21:S21"/>
    <mergeCell ref="W20:AN20"/>
    <mergeCell ref="AI19:AL19"/>
    <mergeCell ref="BY17:CA17"/>
    <mergeCell ref="CC17:CD17"/>
    <mergeCell ref="CF17:CH17"/>
    <mergeCell ref="CJ17:CL17"/>
    <mergeCell ref="CN17:CP17"/>
    <mergeCell ref="W18:AN18"/>
    <mergeCell ref="AI17:AL17"/>
    <mergeCell ref="AN17:AP17"/>
    <mergeCell ref="AQ17:AR17"/>
    <mergeCell ref="BP17:BQ17"/>
    <mergeCell ref="BR17:BS17"/>
    <mergeCell ref="BU17:BW17"/>
    <mergeCell ref="BR15:BS15"/>
    <mergeCell ref="BU15:BW15"/>
    <mergeCell ref="BY15:CA15"/>
    <mergeCell ref="CC15:CD15"/>
    <mergeCell ref="W15:X15"/>
    <mergeCell ref="Z15:AA15"/>
    <mergeCell ref="AB15:AD15"/>
    <mergeCell ref="AF15:AH15"/>
    <mergeCell ref="AI15:AL15"/>
    <mergeCell ref="AN15:AP15"/>
    <mergeCell ref="A16:C16"/>
    <mergeCell ref="W16:AN16"/>
    <mergeCell ref="A17:C17"/>
    <mergeCell ref="G17:I17"/>
    <mergeCell ref="J17:K17"/>
    <mergeCell ref="L17:M17"/>
    <mergeCell ref="O17:P17"/>
    <mergeCell ref="AQ15:AR15"/>
    <mergeCell ref="BP15:BQ15"/>
    <mergeCell ref="R17:S17"/>
    <mergeCell ref="T17:U17"/>
    <mergeCell ref="W17:X17"/>
    <mergeCell ref="Z17:AA17"/>
    <mergeCell ref="AB17:AD17"/>
    <mergeCell ref="AF17:AH17"/>
    <mergeCell ref="CN13:CP13"/>
    <mergeCell ref="A14:C14"/>
    <mergeCell ref="W14:AN14"/>
    <mergeCell ref="G15:I15"/>
    <mergeCell ref="J15:K15"/>
    <mergeCell ref="L15:M15"/>
    <mergeCell ref="O15:P15"/>
    <mergeCell ref="R15:S15"/>
    <mergeCell ref="T15:U15"/>
    <mergeCell ref="BP13:BQ13"/>
    <mergeCell ref="BR13:BS13"/>
    <mergeCell ref="BU13:BW13"/>
    <mergeCell ref="BY13:CA13"/>
    <mergeCell ref="CC13:CD13"/>
    <mergeCell ref="CF13:CH13"/>
    <mergeCell ref="Z13:AA13"/>
    <mergeCell ref="AB13:AD13"/>
    <mergeCell ref="AF13:AH13"/>
    <mergeCell ref="AI13:AL13"/>
    <mergeCell ref="AN13:AP13"/>
    <mergeCell ref="AQ13:AR13"/>
    <mergeCell ref="CF15:CH15"/>
    <mergeCell ref="CJ15:CL15"/>
    <mergeCell ref="CN15:CP15"/>
    <mergeCell ref="CJ12:CL12"/>
    <mergeCell ref="A13:C13"/>
    <mergeCell ref="G13:I13"/>
    <mergeCell ref="J13:K13"/>
    <mergeCell ref="L13:M13"/>
    <mergeCell ref="O13:P13"/>
    <mergeCell ref="R13:S13"/>
    <mergeCell ref="T13:U13"/>
    <mergeCell ref="W13:X13"/>
    <mergeCell ref="CJ13:CL13"/>
    <mergeCell ref="F12:J12"/>
    <mergeCell ref="M12:O12"/>
    <mergeCell ref="P12:T12"/>
    <mergeCell ref="U12:W12"/>
    <mergeCell ref="AA12:AE12"/>
    <mergeCell ref="AF12:AJ12"/>
    <mergeCell ref="BP12:BW12"/>
    <mergeCell ref="BY12:CA12"/>
    <mergeCell ref="CF12:CH12"/>
    <mergeCell ref="D1:AA2"/>
    <mergeCell ref="BH2:BM2"/>
    <mergeCell ref="BY6:CA6"/>
    <mergeCell ref="CK6:CM6"/>
    <mergeCell ref="CN6:CP6"/>
    <mergeCell ref="B10:D11"/>
    <mergeCell ref="O10:Q10"/>
    <mergeCell ref="S10:U10"/>
    <mergeCell ref="J11:L11"/>
    <mergeCell ref="N11:Q11"/>
    <mergeCell ref="S11:V11"/>
    <mergeCell ref="CC11:CE11"/>
  </mergeCells>
  <phoneticPr fontId="2"/>
  <conditionalFormatting sqref="F80:J81 L80:N81 P80:V81 AC80:AC85 AE80:AG85 AI80:AO85 AA81:AB81 Y82 Z82:AB85 F83:J84 L83:N84 P83:V84 Y85">
    <cfRule type="expression" dxfId="32" priority="24">
      <formula>$BA$78=FALSE</formula>
    </cfRule>
  </conditionalFormatting>
  <conditionalFormatting sqref="J58:K59 F58:G60">
    <cfRule type="expression" dxfId="31" priority="19">
      <formula>$AQ$33=0</formula>
    </cfRule>
  </conditionalFormatting>
  <conditionalFormatting sqref="J95:L95 J98:L99">
    <cfRule type="expression" dxfId="30" priority="32">
      <formula>$BA$91=FALSE</formula>
    </cfRule>
  </conditionalFormatting>
  <conditionalFormatting sqref="M77:N77 Q77:R77">
    <cfRule type="expression" dxfId="29" priority="23">
      <formula>$BA$78=FALSE</formula>
    </cfRule>
    <cfRule type="expression" dxfId="28" priority="22">
      <formula>$BA$78=FALSE</formula>
    </cfRule>
  </conditionalFormatting>
  <conditionalFormatting sqref="N40 AC62:AC63 AC69:AC70 AJ72:AN72 N95:P95 R95:U95 AA95:AG95 N98:P99 R98:U99 AA98:AG99">
    <cfRule type="expression" dxfId="27" priority="25">
      <formula>$BA$91=FALSE</formula>
    </cfRule>
  </conditionalFormatting>
  <conditionalFormatting sqref="T39:V39">
    <cfRule type="cellIs" dxfId="26" priority="21" operator="notEqual">
      <formula>""</formula>
    </cfRule>
  </conditionalFormatting>
  <conditionalFormatting sqref="U62:U63 U69:U70 AB72:AE72">
    <cfRule type="expression" dxfId="25" priority="29">
      <formula>OR($AQ$33=0,AND($AQ$33&gt;0,$BA$91=FALSE))</formula>
    </cfRule>
  </conditionalFormatting>
  <conditionalFormatting sqref="W95:Y95 W98:Y98">
    <cfRule type="expression" dxfId="24" priority="26">
      <formula>$BA$91=FALSE</formula>
    </cfRule>
    <cfRule type="cellIs" dxfId="23" priority="27" operator="notEqual">
      <formula>$N$39</formula>
    </cfRule>
    <cfRule type="expression" dxfId="22" priority="28">
      <formula>$BA$91=FALSE</formula>
    </cfRule>
  </conditionalFormatting>
  <conditionalFormatting sqref="Y46:AB46 Y48:AB48">
    <cfRule type="cellIs" dxfId="21" priority="20" operator="notEqual">
      <formula>$N$39</formula>
    </cfRule>
  </conditionalFormatting>
  <conditionalFormatting sqref="Z61 U61:U64 AC61:AC64 Z64 Z68 U68:U71 AC68:AC71 Z71 AJ72:AN72">
    <cfRule type="expression" dxfId="20" priority="18">
      <formula>$AQ$33=0</formula>
    </cfRule>
  </conditionalFormatting>
  <conditionalFormatting sqref="Z62:Z63 Z69:Z70 AG72:AH72">
    <cfRule type="expression" dxfId="19" priority="31">
      <formula>OR($AQ$33=0,AND($AQ$33&gt;0,$BA$91=FALSE))</formula>
    </cfRule>
  </conditionalFormatting>
  <conditionalFormatting sqref="AB72:AE72">
    <cfRule type="expression" dxfId="18" priority="30">
      <formula>$AQ$33=0</formula>
    </cfRule>
  </conditionalFormatting>
  <conditionalFormatting sqref="AF13:AH13 AF15:AH15 AF17:AH17">
    <cfRule type="cellIs" dxfId="17" priority="17" operator="equal">
      <formula>"20時間を"</formula>
    </cfRule>
  </conditionalFormatting>
  <conditionalFormatting sqref="AF19:AH19">
    <cfRule type="cellIs" dxfId="16" priority="4" operator="equal">
      <formula>"20時間を"</formula>
    </cfRule>
  </conditionalFormatting>
  <conditionalFormatting sqref="AF21:AH21">
    <cfRule type="cellIs" dxfId="15" priority="6" operator="equal">
      <formula>"20時間を"</formula>
    </cfRule>
  </conditionalFormatting>
  <conditionalFormatting sqref="AF23:AH23">
    <cfRule type="cellIs" dxfId="14" priority="8" operator="equal">
      <formula>"20時間を"</formula>
    </cfRule>
  </conditionalFormatting>
  <conditionalFormatting sqref="AF25:AH25">
    <cfRule type="cellIs" dxfId="13" priority="10" operator="equal">
      <formula>"20時間を"</formula>
    </cfRule>
  </conditionalFormatting>
  <conditionalFormatting sqref="AF27:AH27">
    <cfRule type="cellIs" dxfId="12" priority="12" operator="equal">
      <formula>"20時間を"</formula>
    </cfRule>
  </conditionalFormatting>
  <conditionalFormatting sqref="AF29:AH29">
    <cfRule type="cellIs" dxfId="11" priority="2" operator="equal">
      <formula>"20時間を"</formula>
    </cfRule>
  </conditionalFormatting>
  <conditionalFormatting sqref="AF31:AH31">
    <cfRule type="cellIs" dxfId="10" priority="14" operator="equal">
      <formula>"20時間を"</formula>
    </cfRule>
  </conditionalFormatting>
  <conditionalFormatting sqref="AI61 AI64 AI68">
    <cfRule type="expression" dxfId="9" priority="33">
      <formula>OR($AQ$33=0,AND($AQ$33&gt;0,$G$90=TRUE))</formula>
    </cfRule>
  </conditionalFormatting>
  <conditionalFormatting sqref="AI71">
    <cfRule type="expression" dxfId="8" priority="15">
      <formula>OR($AQ$33=0,AND($AQ$33&gt;0,$G$90=TRUE))</formula>
    </cfRule>
  </conditionalFormatting>
  <conditionalFormatting sqref="AI13:AL13 AI15:AL15 AI17:AL17">
    <cfRule type="cellIs" dxfId="7" priority="16" operator="equal">
      <formula>"超えています"</formula>
    </cfRule>
  </conditionalFormatting>
  <conditionalFormatting sqref="AI19:AL19">
    <cfRule type="cellIs" dxfId="6" priority="3" operator="equal">
      <formula>"超えています"</formula>
    </cfRule>
  </conditionalFormatting>
  <conditionalFormatting sqref="AI21:AL21">
    <cfRule type="cellIs" dxfId="5" priority="5" operator="equal">
      <formula>"超えています"</formula>
    </cfRule>
  </conditionalFormatting>
  <conditionalFormatting sqref="AI23:AL23">
    <cfRule type="cellIs" dxfId="4" priority="7" operator="equal">
      <formula>"超えています"</formula>
    </cfRule>
  </conditionalFormatting>
  <conditionalFormatting sqref="AI25:AL25">
    <cfRule type="cellIs" dxfId="3" priority="9" operator="equal">
      <formula>"超えています"</formula>
    </cfRule>
  </conditionalFormatting>
  <conditionalFormatting sqref="AI27:AL27">
    <cfRule type="cellIs" dxfId="2" priority="11" operator="equal">
      <formula>"超えています"</formula>
    </cfRule>
  </conditionalFormatting>
  <conditionalFormatting sqref="AI29:AL29">
    <cfRule type="cellIs" dxfId="1" priority="1" operator="equal">
      <formula>"超えています"</formula>
    </cfRule>
  </conditionalFormatting>
  <conditionalFormatting sqref="AI31:AL31">
    <cfRule type="cellIs" dxfId="0" priority="13" operator="equal">
      <formula>"超えています"</formula>
    </cfRule>
  </conditionalFormatting>
  <dataValidations count="48">
    <dataValidation type="whole" operator="lessThanOrEqual" allowBlank="1" showInputMessage="1" showErrorMessage="1" errorTitle="２０％以内です！" error="割増率は２０％以内です！" sqref="J58:J59 F58:F60" xr:uid="{00000000-0002-0000-0200-000000000000}">
      <formula1>20</formula1>
    </dataValidation>
    <dataValidation type="whole" operator="greaterThanOrEqual" allowBlank="1" showInputMessage="1" showErrorMessage="1" errorTitle="最低３時間です！" error="３時間未満の場合は、3時間となります！" sqref="BP33:BP35 BE36" xr:uid="{00000000-0002-0000-0200-000001000000}">
      <formula1>3</formula1>
    </dataValidation>
    <dataValidation type="whole" operator="greaterThanOrEqual" allowBlank="1" showInputMessage="1" showErrorMessage="1" errorTitle="最低３時間です" error="３時間未満の場合は、3時間となります。" sqref="AV33:AW33" xr:uid="{00000000-0002-0000-0200-000002000000}">
      <formula1>3</formula1>
    </dataValidation>
    <dataValidation allowBlank="1" showDropDown="1" showInputMessage="1" showErrorMessage="1" sqref="G6:H6" xr:uid="{00000000-0002-0000-0200-000003000000}"/>
    <dataValidation type="whole" operator="lessThanOrEqual" allowBlank="1" showInputMessage="1" showErrorMessage="1" errorTitle="５０％以内です！" error="割増率は５０％以内です！" sqref="M77 Q77" xr:uid="{00000000-0002-0000-0200-000004000000}">
      <formula1>50</formula1>
    </dataValidation>
    <dataValidation type="whole" allowBlank="1" showInputMessage="1" showErrorMessage="1" errorTitle="範囲外で設定されています！" error="上限額と下限額の範囲内で設定してください！" sqref="AR95:AR96" xr:uid="{00000000-0002-0000-0200-000005000000}">
      <formula1>CN119</formula1>
      <formula2>CL119</formula2>
    </dataValidation>
    <dataValidation type="whole" allowBlank="1" showInputMessage="1" showErrorMessage="1" errorTitle="範囲外で設定されています！" error="上限額と下限額の範囲内で設定してください！" sqref="AR93:AR94" xr:uid="{00000000-0002-0000-0200-000006000000}">
      <formula1>CN118</formula1>
      <formula2>CL118</formula2>
    </dataValidation>
    <dataValidation type="whole" allowBlank="1" showInputMessage="1" showErrorMessage="1" errorTitle="範囲外で設定されています！" error="上限額と下限額の範囲内で設定してください！" sqref="AQ95:AQ96" xr:uid="{00000000-0002-0000-0200-000007000000}">
      <formula1>CN119</formula1>
      <formula2>CL119</formula2>
    </dataValidation>
    <dataValidation type="whole" allowBlank="1" showInputMessage="1" showErrorMessage="1" errorTitle="範囲外で設定されています！" error="上限額と下限額の範囲内で設定してください！" sqref="AQ93:AQ94" xr:uid="{00000000-0002-0000-0200-000008000000}">
      <formula1>CN118</formula1>
      <formula2>CL118</formula2>
    </dataValidation>
    <dataValidation type="whole" allowBlank="1" showInputMessage="1" showErrorMessage="1" errorTitle="範囲外で設定されています！" error="上限額と下限額の範囲内で設定してください！" sqref="AP95:AP96" xr:uid="{00000000-0002-0000-0200-000009000000}">
      <formula1>CN119</formula1>
      <formula2>CL119</formula2>
    </dataValidation>
    <dataValidation type="whole" allowBlank="1" showInputMessage="1" showErrorMessage="1" errorTitle="範囲外で設定されています！" error="上限額と下限額の範囲内で設定してください！" sqref="AP93:AP94" xr:uid="{00000000-0002-0000-0200-00000A000000}">
      <formula1>CN118</formula1>
      <formula2>CL118</formula2>
    </dataValidation>
    <dataValidation type="whole" allowBlank="1" showInputMessage="1" showErrorMessage="1" errorTitle="範囲外で設定されています！" error="上限額と下限額の範囲内で設定してください！" sqref="AO95:AO96" xr:uid="{00000000-0002-0000-0200-00000B000000}">
      <formula1>CN119</formula1>
      <formula2>CL119</formula2>
    </dataValidation>
    <dataValidation type="whole" allowBlank="1" showInputMessage="1" showErrorMessage="1" errorTitle="範囲外で設定されています！" error="上限額と下限額の範囲内で設定してください！" sqref="AO93:AO94" xr:uid="{00000000-0002-0000-0200-00000C000000}">
      <formula1>CN118</formula1>
      <formula2>CL118</formula2>
    </dataValidation>
    <dataValidation type="whole" allowBlank="1" showInputMessage="1" showErrorMessage="1" errorTitle="範囲外で設定されています！" error="上限額と下限額の範囲内で設定してください！" sqref="AN95:AN96" xr:uid="{00000000-0002-0000-0200-00000D000000}">
      <formula1>CN119</formula1>
      <formula2>CL119</formula2>
    </dataValidation>
    <dataValidation type="whole" allowBlank="1" showInputMessage="1" showErrorMessage="1" errorTitle="範囲外で設定されています！" error="上限額と下限額の範囲内で設定してください！" sqref="AN93:AN94" xr:uid="{00000000-0002-0000-0200-00000E000000}">
      <formula1>CN118</formula1>
      <formula2>CL118</formula2>
    </dataValidation>
    <dataValidation type="whole" allowBlank="1" showInputMessage="1" showErrorMessage="1" errorTitle="範囲外で設定されています！" error="上限額と下限額の範囲内で設定してください！" sqref="AK95:AK96" xr:uid="{00000000-0002-0000-0200-00000F000000}">
      <formula1>CN119</formula1>
      <formula2>CL119</formula2>
    </dataValidation>
    <dataValidation type="whole" allowBlank="1" showInputMessage="1" showErrorMessage="1" errorTitle="範囲外で設定されています！" error="上限額と下限額の範囲内で設定してください！" sqref="AJ93:AK94" xr:uid="{00000000-0002-0000-0200-000010000000}">
      <formula1>CM118</formula1>
      <formula2>CK118</formula2>
    </dataValidation>
    <dataValidation type="whole" allowBlank="1" showInputMessage="1" showErrorMessage="1" errorTitle="範囲外で設定されています！" error="上限額と下限額の範囲内で設定してください！" sqref="AL95:AL96" xr:uid="{00000000-0002-0000-0200-000011000000}">
      <formula1>CN119</formula1>
      <formula2>CL119</formula2>
    </dataValidation>
    <dataValidation type="whole" allowBlank="1" showInputMessage="1" showErrorMessage="1" errorTitle="範囲外で設定されています！" error="上限額と下限額の範囲内で設定してください！" sqref="AL93:AL94" xr:uid="{00000000-0002-0000-0200-000012000000}">
      <formula1>CN118</formula1>
      <formula2>CL118</formula2>
    </dataValidation>
    <dataValidation type="whole" allowBlank="1" showInputMessage="1" showErrorMessage="1" errorTitle="範囲外で設定されています！" error="上限額と下限額の範囲内で設定してください！" sqref="AM95:AM96" xr:uid="{00000000-0002-0000-0200-000013000000}">
      <formula1>CN119</formula1>
      <formula2>CL119</formula2>
    </dataValidation>
    <dataValidation type="whole" allowBlank="1" showInputMessage="1" showErrorMessage="1" errorTitle="範囲外で設定されています！" error="上限額と下限額の範囲内で設定してください！" sqref="AM93:AM94" xr:uid="{00000000-0002-0000-0200-000014000000}">
      <formula1>CN118</formula1>
      <formula2>CL118</formula2>
    </dataValidation>
    <dataValidation type="whole" allowBlank="1" showInputMessage="1" showErrorMessage="1" errorTitle="範囲外で設定されています！" error="上限額と下限額の範囲内で設定してください！" sqref="O96" xr:uid="{00000000-0002-0000-0200-000015000000}">
      <formula1>CN120</formula1>
      <formula2>CL120</formula2>
    </dataValidation>
    <dataValidation type="whole" allowBlank="1" showInputMessage="1" showErrorMessage="1" errorTitle="範囲外で設定されています！" error="上限額と下限額の範囲内で設定してください！" sqref="O93" xr:uid="{00000000-0002-0000-0200-000016000000}">
      <formula1>CN118</formula1>
      <formula2>CL118</formula2>
    </dataValidation>
    <dataValidation type="whole" allowBlank="1" showInputMessage="1" showErrorMessage="1" errorTitle="範囲外で設定されています！" error="上限額と下限額の範囲内で設定してください！" sqref="S96" xr:uid="{00000000-0002-0000-0200-000017000000}">
      <formula1>Q92</formula1>
      <formula2>M92</formula2>
    </dataValidation>
    <dataValidation type="whole" allowBlank="1" showInputMessage="1" showErrorMessage="1" errorTitle="範囲外で設定されています！" error="上限額と下限額の範囲内で設定してください！" sqref="S93" xr:uid="{00000000-0002-0000-0200-000018000000}">
      <formula1>Q90</formula1>
      <formula2>M90</formula2>
    </dataValidation>
    <dataValidation type="whole" allowBlank="1" showInputMessage="1" showErrorMessage="1" errorTitle="範囲外で設定されています！" error="上限額と下限額の範囲内で設定してください！" sqref="R96" xr:uid="{00000000-0002-0000-0200-000019000000}">
      <formula1>Q92</formula1>
      <formula2>M92</formula2>
    </dataValidation>
    <dataValidation type="whole" allowBlank="1" showInputMessage="1" showErrorMessage="1" errorTitle="範囲外で設定されています！" error="上限額と下限額の範囲内で設定してください！" sqref="R93" xr:uid="{00000000-0002-0000-0200-00001A000000}">
      <formula1>Q90</formula1>
      <formula2>M90</formula2>
    </dataValidation>
    <dataValidation type="whole" allowBlank="1" showInputMessage="1" showErrorMessage="1" errorTitle="範囲外で設定されています！" error="上限額と下限額の範囲内で設定してください！" sqref="P96" xr:uid="{00000000-0002-0000-0200-00001B000000}">
      <formula1>Q92</formula1>
      <formula2>M92</formula2>
    </dataValidation>
    <dataValidation type="whole" allowBlank="1" showInputMessage="1" showErrorMessage="1" errorTitle="範囲外で設定されています！" error="上限額と下限額の範囲内で設定してください！" sqref="P93" xr:uid="{00000000-0002-0000-0200-00001C000000}">
      <formula1>Q90</formula1>
      <formula2>M90</formula2>
    </dataValidation>
    <dataValidation type="whole" allowBlank="1" showInputMessage="1" showErrorMessage="1" errorTitle="範囲外で設定されています！" error="上限額と下限額の範囲内で設定してください！" sqref="N96" xr:uid="{00000000-0002-0000-0200-00001D000000}">
      <formula1>Q92</formula1>
      <formula2>M92</formula2>
    </dataValidation>
    <dataValidation type="whole" allowBlank="1" showInputMessage="1" showErrorMessage="1" errorTitle="範囲外で設定されています！" error="上限額と下限額の範囲内で設定してください！" sqref="N93" xr:uid="{00000000-0002-0000-0200-00001E000000}">
      <formula1>Q90</formula1>
      <formula2>M90</formula2>
    </dataValidation>
    <dataValidation type="whole" allowBlank="1" showInputMessage="1" showErrorMessage="1" errorTitle="範囲外で設定されています！" error="上限額と下限額の範囲内で設定してください！" sqref="AW38" xr:uid="{00000000-0002-0000-0200-00001F000000}">
      <formula1>T37</formula1>
      <formula2>BM38</formula2>
    </dataValidation>
    <dataValidation type="whole" allowBlank="1" showInputMessage="1" showErrorMessage="1" errorTitle="範囲外で設定されています！" error="上限額と下限額の範囲内で設定してください！" sqref="AV38" xr:uid="{00000000-0002-0000-0200-000020000000}">
      <formula1>T37</formula1>
      <formula2>BM38</formula2>
    </dataValidation>
    <dataValidation type="whole" allowBlank="1" showInputMessage="1" showErrorMessage="1" errorTitle="警告" error="上限額と下限額の範囲内で設定してください！" sqref="BK34:BK35" xr:uid="{00000000-0002-0000-0200-000021000000}">
      <formula1>CL13</formula1>
      <formula2>#REF!</formula2>
    </dataValidation>
    <dataValidation type="whole" allowBlank="1" showInputMessage="1" showErrorMessage="1" errorTitle="警告" error="上限額と下限額の範囲内で設定してください！" sqref="AZ36" xr:uid="{00000000-0002-0000-0200-000022000000}">
      <formula1>CL14</formula1>
      <formula2>P12</formula2>
    </dataValidation>
    <dataValidation type="whole" allowBlank="1" showInputMessage="1" showErrorMessage="1" errorTitle="警告" error="上限額と下限額の範囲内で設定してください！" sqref="BK33" xr:uid="{00000000-0002-0000-0200-000023000000}">
      <formula1>CL13</formula1>
      <formula2>CJ13</formula2>
    </dataValidation>
    <dataValidation type="whole" allowBlank="1" showInputMessage="1" showErrorMessage="1" errorTitle="範囲外で設定されています！" error="上限額と下限額の範囲内で設定してください！" sqref="AH11" xr:uid="{00000000-0002-0000-0200-000024000000}">
      <formula1>CC11</formula1>
      <formula2>CA11</formula2>
    </dataValidation>
    <dataValidation type="whole" allowBlank="1" showInputMessage="1" showErrorMessage="1" errorTitle="範囲外で設定されています！" error="上限額と下限額の範囲内で設定してください！" sqref="AG11" xr:uid="{00000000-0002-0000-0200-000025000000}">
      <formula1>CC11</formula1>
      <formula2>CA11</formula2>
    </dataValidation>
    <dataValidation type="whole" allowBlank="1" showInputMessage="1" showErrorMessage="1" errorTitle="範囲外で設定されています！" error="上限額と下限額の範囲内で設定してください！" sqref="AF11" xr:uid="{00000000-0002-0000-0200-000026000000}">
      <formula1>CC11</formula1>
      <formula2>CA11</formula2>
    </dataValidation>
    <dataValidation type="whole" allowBlank="1" showInputMessage="1" showErrorMessage="1" errorTitle="範囲外で設定されています！" error="上限額と下限額の範囲内で設定してください！" sqref="AE11" xr:uid="{00000000-0002-0000-0200-000027000000}">
      <formula1>CC11</formula1>
      <formula2>CA11</formula2>
    </dataValidation>
    <dataValidation type="whole" allowBlank="1" showInputMessage="1" showErrorMessage="1" errorTitle="範囲外で設定されています！" error="上限額と下限額の範囲内で設定してください！" sqref="AD11" xr:uid="{00000000-0002-0000-0200-000028000000}">
      <formula1>CC11</formula1>
      <formula2>CA11</formula2>
    </dataValidation>
    <dataValidation type="whole" allowBlank="1" showInputMessage="1" showErrorMessage="1" errorTitle="範囲外で設定されています！" error="上限額と下限額の範囲内で設定してください！" sqref="AC11" xr:uid="{00000000-0002-0000-0200-000029000000}">
      <formula1>CC11</formula1>
      <formula2>CA11</formula2>
    </dataValidation>
    <dataValidation type="whole" allowBlank="1" showInputMessage="1" showErrorMessage="1" errorTitle="範囲外で設定されています！" error="上限額と下限額の範囲内で設定してください！" sqref="W11:Z11" xr:uid="{00000000-0002-0000-0200-00002A000000}">
      <formula1>BZ11</formula1>
      <formula2>BX11</formula2>
    </dataValidation>
    <dataValidation type="whole" allowBlank="1" showInputMessage="1" showErrorMessage="1" errorTitle="範囲外で設定されています！" error="上限額と下限額の範囲内で設定してください！" sqref="AA11" xr:uid="{00000000-0002-0000-0200-00002B000000}">
      <formula1>CC11</formula1>
      <formula2>CA11</formula2>
    </dataValidation>
    <dataValidation type="whole" allowBlank="1" showInputMessage="1" showErrorMessage="1" errorTitle="範囲外で設定されています！" error="上限額と下限額の範囲内で設定してください！" sqref="AL11" xr:uid="{00000000-0002-0000-0200-00002C000000}">
      <formula1>V11</formula1>
      <formula2>R11</formula2>
    </dataValidation>
    <dataValidation type="whole" allowBlank="1" showInputMessage="1" showErrorMessage="1" errorTitle="範囲外で設定されています！" error="上限額と下限額の範囲内で設定してください！" sqref="AK11" xr:uid="{00000000-0002-0000-0200-00002D000000}">
      <formula1>V11</formula1>
      <formula2>R11</formula2>
    </dataValidation>
    <dataValidation type="whole" allowBlank="1" showInputMessage="1" showErrorMessage="1" errorTitle="範囲外で設定されています！" error="上限額と下限額の範囲内で設定してください！" sqref="S100" xr:uid="{00000000-0002-0000-0200-00002E000000}">
      <formula1>Q92</formula1>
      <formula2>M92</formula2>
    </dataValidation>
    <dataValidation type="whole" allowBlank="1" showInputMessage="1" showErrorMessage="1" errorTitle="範囲外で設定されています！" error="上限額と下限額の範囲内で設定してください！" sqref="R100" xr:uid="{00000000-0002-0000-0200-00002F000000}">
      <formula1>Q92</formula1>
      <formula2>M92</formula2>
    </dataValidation>
  </dataValidations>
  <pageMargins left="0.70866141732283472" right="0.23" top="0.39370078740157483" bottom="0.23622047244094491" header="0.31496062992125984" footer="0.23622047244094491"/>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5</xdr:col>
                    <xdr:colOff>38100</xdr:colOff>
                    <xdr:row>4</xdr:row>
                    <xdr:rowOff>95250</xdr:rowOff>
                  </from>
                  <to>
                    <xdr:col>29</xdr:col>
                    <xdr:colOff>66675</xdr:colOff>
                    <xdr:row>5</xdr:row>
                    <xdr:rowOff>200025</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8</xdr:col>
                    <xdr:colOff>28575</xdr:colOff>
                    <xdr:row>39</xdr:row>
                    <xdr:rowOff>123825</xdr:rowOff>
                  </from>
                  <to>
                    <xdr:col>25</xdr:col>
                    <xdr:colOff>19050</xdr:colOff>
                    <xdr:row>44</xdr:row>
                    <xdr:rowOff>9525</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6</xdr:col>
                    <xdr:colOff>85725</xdr:colOff>
                    <xdr:row>4</xdr:row>
                    <xdr:rowOff>95250</xdr:rowOff>
                  </from>
                  <to>
                    <xdr:col>30</xdr:col>
                    <xdr:colOff>95250</xdr:colOff>
                    <xdr:row>5</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85725</xdr:colOff>
                    <xdr:row>72</xdr:row>
                    <xdr:rowOff>38100</xdr:rowOff>
                  </from>
                  <to>
                    <xdr:col>4</xdr:col>
                    <xdr:colOff>114300</xdr:colOff>
                    <xdr:row>73</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85725</xdr:colOff>
                    <xdr:row>85</xdr:row>
                    <xdr:rowOff>0</xdr:rowOff>
                  </from>
                  <to>
                    <xdr:col>4</xdr:col>
                    <xdr:colOff>114300</xdr:colOff>
                    <xdr:row>86</xdr:row>
                    <xdr:rowOff>85725</xdr:rowOff>
                  </to>
                </anchor>
              </controlPr>
            </control>
          </mc:Choice>
        </mc:AlternateContent>
        <mc:AlternateContent xmlns:mc="http://schemas.openxmlformats.org/markup-compatibility/2006">
          <mc:Choice Requires="x14">
            <control shapeId="5126" r:id="rId9" name="Drop Down 6">
              <controlPr defaultSize="0" autoLine="0" autoPict="0">
                <anchor moveWithCells="1">
                  <from>
                    <xdr:col>6</xdr:col>
                    <xdr:colOff>38100</xdr:colOff>
                    <xdr:row>2</xdr:row>
                    <xdr:rowOff>142875</xdr:rowOff>
                  </from>
                  <to>
                    <xdr:col>9</xdr:col>
                    <xdr:colOff>133350</xdr:colOff>
                    <xdr:row>4</xdr:row>
                    <xdr:rowOff>19050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6</xdr:col>
                    <xdr:colOff>57150</xdr:colOff>
                    <xdr:row>5</xdr:row>
                    <xdr:rowOff>19050</xdr:rowOff>
                  </from>
                  <to>
                    <xdr:col>9</xdr:col>
                    <xdr:colOff>104775</xdr:colOff>
                    <xdr:row>5</xdr:row>
                    <xdr:rowOff>190500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10</xdr:col>
                    <xdr:colOff>57150</xdr:colOff>
                    <xdr:row>5</xdr:row>
                    <xdr:rowOff>19050</xdr:rowOff>
                  </from>
                  <to>
                    <xdr:col>13</xdr:col>
                    <xdr:colOff>38100</xdr:colOff>
                    <xdr:row>5</xdr:row>
                    <xdr:rowOff>190500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14</xdr:col>
                    <xdr:colOff>28575</xdr:colOff>
                    <xdr:row>5</xdr:row>
                    <xdr:rowOff>19050</xdr:rowOff>
                  </from>
                  <to>
                    <xdr:col>17</xdr:col>
                    <xdr:colOff>133350</xdr:colOff>
                    <xdr:row>5</xdr:row>
                    <xdr:rowOff>190500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19</xdr:col>
                    <xdr:colOff>28575</xdr:colOff>
                    <xdr:row>5</xdr:row>
                    <xdr:rowOff>19050</xdr:rowOff>
                  </from>
                  <to>
                    <xdr:col>22</xdr:col>
                    <xdr:colOff>66675</xdr:colOff>
                    <xdr:row>5</xdr:row>
                    <xdr:rowOff>190500</xdr:rowOff>
                  </to>
                </anchor>
              </controlPr>
            </control>
          </mc:Choice>
        </mc:AlternateContent>
        <mc:AlternateContent xmlns:mc="http://schemas.openxmlformats.org/markup-compatibility/2006">
          <mc:Choice Requires="x14">
            <control shapeId="5131" r:id="rId14" name="Option Button 11">
              <controlPr defaultSize="0" autoFill="0" autoLine="0" autoPict="0">
                <anchor moveWithCells="1">
                  <from>
                    <xdr:col>24</xdr:col>
                    <xdr:colOff>19050</xdr:colOff>
                    <xdr:row>5</xdr:row>
                    <xdr:rowOff>19050</xdr:rowOff>
                  </from>
                  <to>
                    <xdr:col>27</xdr:col>
                    <xdr:colOff>161925</xdr:colOff>
                    <xdr:row>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showGridLines="0" showRowColHeaders="0" zoomScale="85" zoomScaleNormal="85" workbookViewId="0">
      <selection activeCell="A33" sqref="A33"/>
    </sheetView>
  </sheetViews>
  <sheetFormatPr defaultRowHeight="13.5" x14ac:dyDescent="0.15"/>
  <cols>
    <col min="2" max="2" width="9" style="23"/>
    <col min="9" max="9" width="9" style="23"/>
    <col min="16" max="16" width="9" style="23"/>
    <col min="23" max="23" width="9" style="23"/>
    <col min="30" max="30" width="9" style="23"/>
    <col min="37" max="37" width="9" style="23"/>
  </cols>
  <sheetData>
    <row r="1" spans="1:34" x14ac:dyDescent="0.15">
      <c r="A1" s="308" t="s">
        <v>58</v>
      </c>
      <c r="B1" s="309"/>
      <c r="C1" s="309"/>
      <c r="D1" s="309"/>
      <c r="E1" s="310"/>
      <c r="F1" s="198" t="s">
        <v>108</v>
      </c>
      <c r="H1" s="308" t="s">
        <v>59</v>
      </c>
      <c r="I1" s="309"/>
      <c r="J1" s="309"/>
      <c r="K1" s="309"/>
      <c r="L1" s="310"/>
      <c r="M1" s="199" t="s">
        <v>7</v>
      </c>
      <c r="O1" s="308" t="s">
        <v>60</v>
      </c>
      <c r="P1" s="309"/>
      <c r="Q1" s="309"/>
      <c r="R1" s="309"/>
      <c r="S1" s="310"/>
      <c r="T1" s="199" t="s">
        <v>7</v>
      </c>
      <c r="V1" s="308" t="s">
        <v>61</v>
      </c>
      <c r="W1" s="309"/>
      <c r="X1" s="309"/>
      <c r="Y1" s="309"/>
      <c r="Z1" s="310"/>
      <c r="AA1" s="199" t="s">
        <v>7</v>
      </c>
      <c r="AC1" s="308" t="s">
        <v>63</v>
      </c>
      <c r="AD1" s="309"/>
      <c r="AE1" s="309"/>
      <c r="AF1" s="309"/>
      <c r="AG1" s="310"/>
      <c r="AH1" s="199" t="s">
        <v>7</v>
      </c>
    </row>
    <row r="2" spans="1:34" x14ac:dyDescent="0.15">
      <c r="A2" s="311" t="s">
        <v>1</v>
      </c>
      <c r="B2" s="312" t="s">
        <v>2</v>
      </c>
      <c r="C2" s="198">
        <v>1</v>
      </c>
      <c r="D2" s="308" t="s">
        <v>3</v>
      </c>
      <c r="E2" s="310"/>
      <c r="F2" s="200">
        <v>140</v>
      </c>
      <c r="H2" s="311" t="s">
        <v>1</v>
      </c>
      <c r="I2" s="312" t="s">
        <v>2</v>
      </c>
      <c r="J2" s="198">
        <v>1</v>
      </c>
      <c r="K2" s="308" t="s">
        <v>3</v>
      </c>
      <c r="L2" s="310"/>
      <c r="M2" s="200">
        <v>170</v>
      </c>
      <c r="O2" s="311" t="s">
        <v>1</v>
      </c>
      <c r="P2" s="312" t="s">
        <v>2</v>
      </c>
      <c r="Q2" s="198">
        <v>1</v>
      </c>
      <c r="R2" s="308" t="s">
        <v>3</v>
      </c>
      <c r="S2" s="310"/>
      <c r="T2" s="200">
        <v>160</v>
      </c>
      <c r="V2" s="311" t="s">
        <v>1</v>
      </c>
      <c r="W2" s="312" t="s">
        <v>2</v>
      </c>
      <c r="X2" s="198">
        <v>1</v>
      </c>
      <c r="Y2" s="308" t="s">
        <v>3</v>
      </c>
      <c r="Z2" s="310"/>
      <c r="AA2" s="200">
        <v>150</v>
      </c>
      <c r="AC2" s="311" t="s">
        <v>1</v>
      </c>
      <c r="AD2" s="312" t="s">
        <v>2</v>
      </c>
      <c r="AE2" s="198">
        <v>1</v>
      </c>
      <c r="AF2" s="308" t="s">
        <v>3</v>
      </c>
      <c r="AG2" s="310"/>
      <c r="AH2" s="200">
        <v>140</v>
      </c>
    </row>
    <row r="3" spans="1:34" x14ac:dyDescent="0.15">
      <c r="A3" s="311"/>
      <c r="B3" s="312"/>
      <c r="C3" s="198">
        <v>2</v>
      </c>
      <c r="D3" s="308" t="s">
        <v>4</v>
      </c>
      <c r="E3" s="310"/>
      <c r="F3" s="200">
        <v>120</v>
      </c>
      <c r="H3" s="311"/>
      <c r="I3" s="312"/>
      <c r="J3" s="198">
        <v>2</v>
      </c>
      <c r="K3" s="308" t="s">
        <v>4</v>
      </c>
      <c r="L3" s="310"/>
      <c r="M3" s="200">
        <v>150</v>
      </c>
      <c r="O3" s="311"/>
      <c r="P3" s="312"/>
      <c r="Q3" s="198">
        <v>2</v>
      </c>
      <c r="R3" s="308" t="s">
        <v>4</v>
      </c>
      <c r="S3" s="310"/>
      <c r="T3" s="200">
        <v>140</v>
      </c>
      <c r="V3" s="311"/>
      <c r="W3" s="312"/>
      <c r="X3" s="198">
        <v>2</v>
      </c>
      <c r="Y3" s="308" t="s">
        <v>4</v>
      </c>
      <c r="Z3" s="310"/>
      <c r="AA3" s="200">
        <v>130</v>
      </c>
      <c r="AC3" s="311"/>
      <c r="AD3" s="312"/>
      <c r="AE3" s="198">
        <v>2</v>
      </c>
      <c r="AF3" s="308" t="s">
        <v>4</v>
      </c>
      <c r="AG3" s="310"/>
      <c r="AH3" s="200">
        <v>120</v>
      </c>
    </row>
    <row r="4" spans="1:34" x14ac:dyDescent="0.15">
      <c r="A4" s="311"/>
      <c r="B4" s="312"/>
      <c r="C4" s="198">
        <v>3</v>
      </c>
      <c r="D4" s="308" t="s">
        <v>137</v>
      </c>
      <c r="E4" s="310"/>
      <c r="F4" s="200">
        <v>100</v>
      </c>
      <c r="H4" s="311"/>
      <c r="I4" s="312"/>
      <c r="J4" s="198">
        <v>3</v>
      </c>
      <c r="K4" s="308" t="s">
        <v>137</v>
      </c>
      <c r="L4" s="310"/>
      <c r="M4" s="200">
        <v>130</v>
      </c>
      <c r="O4" s="311"/>
      <c r="P4" s="312"/>
      <c r="Q4" s="198">
        <v>3</v>
      </c>
      <c r="R4" s="308" t="s">
        <v>137</v>
      </c>
      <c r="S4" s="310"/>
      <c r="T4" s="200">
        <v>120</v>
      </c>
      <c r="V4" s="311"/>
      <c r="W4" s="312"/>
      <c r="X4" s="198">
        <v>3</v>
      </c>
      <c r="Y4" s="308" t="s">
        <v>137</v>
      </c>
      <c r="Z4" s="310"/>
      <c r="AA4" s="200">
        <v>110</v>
      </c>
      <c r="AC4" s="311"/>
      <c r="AD4" s="312"/>
      <c r="AE4" s="198">
        <v>3</v>
      </c>
      <c r="AF4" s="308" t="s">
        <v>137</v>
      </c>
      <c r="AG4" s="310"/>
      <c r="AH4" s="200">
        <v>100</v>
      </c>
    </row>
    <row r="5" spans="1:34" x14ac:dyDescent="0.15">
      <c r="A5" s="311"/>
      <c r="B5" s="312"/>
      <c r="C5" s="198">
        <v>4</v>
      </c>
      <c r="D5" s="308" t="s">
        <v>136</v>
      </c>
      <c r="E5" s="310"/>
      <c r="F5" s="200">
        <v>100</v>
      </c>
      <c r="H5" s="311"/>
      <c r="I5" s="312"/>
      <c r="J5" s="198">
        <v>4</v>
      </c>
      <c r="K5" s="308" t="s">
        <v>136</v>
      </c>
      <c r="L5" s="310"/>
      <c r="M5" s="200">
        <v>130</v>
      </c>
      <c r="O5" s="311"/>
      <c r="P5" s="312"/>
      <c r="Q5" s="198">
        <v>4</v>
      </c>
      <c r="R5" s="308" t="s">
        <v>136</v>
      </c>
      <c r="S5" s="310"/>
      <c r="T5" s="200">
        <v>120</v>
      </c>
      <c r="V5" s="311"/>
      <c r="W5" s="312"/>
      <c r="X5" s="198">
        <v>4</v>
      </c>
      <c r="Y5" s="308" t="s">
        <v>136</v>
      </c>
      <c r="Z5" s="310"/>
      <c r="AA5" s="200">
        <v>110</v>
      </c>
      <c r="AC5" s="311"/>
      <c r="AD5" s="312"/>
      <c r="AE5" s="198">
        <v>4</v>
      </c>
      <c r="AF5" s="308" t="s">
        <v>136</v>
      </c>
      <c r="AG5" s="310"/>
      <c r="AH5" s="200">
        <v>100</v>
      </c>
    </row>
    <row r="6" spans="1:34" x14ac:dyDescent="0.15">
      <c r="A6" s="311"/>
      <c r="B6" s="312"/>
      <c r="C6" s="198">
        <v>5</v>
      </c>
      <c r="D6" s="308" t="s">
        <v>134</v>
      </c>
      <c r="E6" s="310"/>
      <c r="F6" s="200">
        <v>90</v>
      </c>
      <c r="H6" s="311"/>
      <c r="I6" s="312"/>
      <c r="J6" s="198">
        <v>5</v>
      </c>
      <c r="K6" s="308" t="s">
        <v>134</v>
      </c>
      <c r="L6" s="310"/>
      <c r="M6" s="200">
        <v>110</v>
      </c>
      <c r="O6" s="311"/>
      <c r="P6" s="312"/>
      <c r="Q6" s="198">
        <v>5</v>
      </c>
      <c r="R6" s="308" t="s">
        <v>134</v>
      </c>
      <c r="S6" s="310"/>
      <c r="T6" s="200">
        <v>110</v>
      </c>
      <c r="V6" s="311"/>
      <c r="W6" s="312"/>
      <c r="X6" s="198">
        <v>5</v>
      </c>
      <c r="Y6" s="308" t="s">
        <v>134</v>
      </c>
      <c r="Z6" s="310"/>
      <c r="AA6" s="200">
        <v>100</v>
      </c>
      <c r="AC6" s="311"/>
      <c r="AD6" s="312"/>
      <c r="AE6" s="198">
        <v>5</v>
      </c>
      <c r="AF6" s="308" t="s">
        <v>134</v>
      </c>
      <c r="AG6" s="310"/>
      <c r="AH6" s="200">
        <v>90</v>
      </c>
    </row>
    <row r="7" spans="1:34" x14ac:dyDescent="0.15">
      <c r="A7" s="311"/>
      <c r="B7" s="312" t="s">
        <v>5</v>
      </c>
      <c r="C7" s="198">
        <v>1</v>
      </c>
      <c r="D7" s="308" t="s">
        <v>3</v>
      </c>
      <c r="E7" s="310"/>
      <c r="F7" s="200">
        <v>5570</v>
      </c>
      <c r="H7" s="311"/>
      <c r="I7" s="312" t="s">
        <v>5</v>
      </c>
      <c r="J7" s="198">
        <v>1</v>
      </c>
      <c r="K7" s="308" t="s">
        <v>3</v>
      </c>
      <c r="L7" s="310"/>
      <c r="M7" s="200">
        <v>6530</v>
      </c>
      <c r="O7" s="311"/>
      <c r="P7" s="312" t="s">
        <v>5</v>
      </c>
      <c r="Q7" s="198">
        <v>1</v>
      </c>
      <c r="R7" s="308" t="s">
        <v>3</v>
      </c>
      <c r="S7" s="310"/>
      <c r="T7" s="200">
        <v>6580</v>
      </c>
      <c r="V7" s="311"/>
      <c r="W7" s="312" t="s">
        <v>5</v>
      </c>
      <c r="X7" s="198">
        <v>1</v>
      </c>
      <c r="Y7" s="308" t="s">
        <v>3</v>
      </c>
      <c r="Z7" s="310"/>
      <c r="AA7" s="200">
        <v>6440</v>
      </c>
      <c r="AC7" s="311"/>
      <c r="AD7" s="312" t="s">
        <v>5</v>
      </c>
      <c r="AE7" s="198">
        <v>1</v>
      </c>
      <c r="AF7" s="308" t="s">
        <v>3</v>
      </c>
      <c r="AG7" s="310"/>
      <c r="AH7" s="200">
        <v>6820</v>
      </c>
    </row>
    <row r="8" spans="1:34" x14ac:dyDescent="0.15">
      <c r="A8" s="311"/>
      <c r="B8" s="312"/>
      <c r="C8" s="198">
        <v>2</v>
      </c>
      <c r="D8" s="308" t="s">
        <v>4</v>
      </c>
      <c r="E8" s="310"/>
      <c r="F8" s="200">
        <v>4700</v>
      </c>
      <c r="H8" s="311"/>
      <c r="I8" s="312"/>
      <c r="J8" s="198">
        <v>2</v>
      </c>
      <c r="K8" s="308" t="s">
        <v>4</v>
      </c>
      <c r="L8" s="310"/>
      <c r="M8" s="200">
        <v>5520</v>
      </c>
      <c r="O8" s="311"/>
      <c r="P8" s="312"/>
      <c r="Q8" s="198">
        <v>2</v>
      </c>
      <c r="R8" s="308" t="s">
        <v>4</v>
      </c>
      <c r="S8" s="310"/>
      <c r="T8" s="200">
        <v>5560</v>
      </c>
      <c r="V8" s="311"/>
      <c r="W8" s="312"/>
      <c r="X8" s="198">
        <v>2</v>
      </c>
      <c r="Y8" s="308" t="s">
        <v>4</v>
      </c>
      <c r="Z8" s="310"/>
      <c r="AA8" s="200">
        <v>5430</v>
      </c>
      <c r="AC8" s="311"/>
      <c r="AD8" s="312"/>
      <c r="AE8" s="198">
        <v>2</v>
      </c>
      <c r="AF8" s="308" t="s">
        <v>4</v>
      </c>
      <c r="AG8" s="310"/>
      <c r="AH8" s="200">
        <v>5760</v>
      </c>
    </row>
    <row r="9" spans="1:34" x14ac:dyDescent="0.15">
      <c r="A9" s="311"/>
      <c r="B9" s="312"/>
      <c r="C9" s="198">
        <v>3</v>
      </c>
      <c r="D9" s="308" t="s">
        <v>137</v>
      </c>
      <c r="E9" s="310"/>
      <c r="F9" s="200">
        <v>4030</v>
      </c>
      <c r="H9" s="311"/>
      <c r="I9" s="312"/>
      <c r="J9" s="198">
        <v>3</v>
      </c>
      <c r="K9" s="308" t="s">
        <v>137</v>
      </c>
      <c r="L9" s="310"/>
      <c r="M9" s="200">
        <v>4740</v>
      </c>
      <c r="O9" s="311"/>
      <c r="P9" s="312"/>
      <c r="Q9" s="198">
        <v>3</v>
      </c>
      <c r="R9" s="308" t="s">
        <v>137</v>
      </c>
      <c r="S9" s="310"/>
      <c r="T9" s="200">
        <v>4770</v>
      </c>
      <c r="V9" s="311"/>
      <c r="W9" s="312"/>
      <c r="X9" s="198">
        <v>3</v>
      </c>
      <c r="Y9" s="308" t="s">
        <v>137</v>
      </c>
      <c r="Z9" s="310"/>
      <c r="AA9" s="200">
        <v>4670</v>
      </c>
      <c r="AC9" s="311"/>
      <c r="AD9" s="312"/>
      <c r="AE9" s="198">
        <v>3</v>
      </c>
      <c r="AF9" s="308" t="s">
        <v>137</v>
      </c>
      <c r="AG9" s="310"/>
      <c r="AH9" s="200">
        <v>4940</v>
      </c>
    </row>
    <row r="10" spans="1:34" x14ac:dyDescent="0.15">
      <c r="A10" s="311"/>
      <c r="B10" s="312"/>
      <c r="C10" s="198">
        <v>4</v>
      </c>
      <c r="D10" s="308" t="s">
        <v>136</v>
      </c>
      <c r="E10" s="310"/>
      <c r="F10" s="200">
        <v>4110</v>
      </c>
      <c r="H10" s="311"/>
      <c r="I10" s="312"/>
      <c r="J10" s="198">
        <v>4</v>
      </c>
      <c r="K10" s="308" t="s">
        <v>136</v>
      </c>
      <c r="L10" s="310"/>
      <c r="M10" s="200">
        <v>4830</v>
      </c>
      <c r="O10" s="311"/>
      <c r="P10" s="312"/>
      <c r="Q10" s="198">
        <v>4</v>
      </c>
      <c r="R10" s="308" t="s">
        <v>136</v>
      </c>
      <c r="S10" s="310"/>
      <c r="T10" s="200">
        <v>4870</v>
      </c>
      <c r="V10" s="311"/>
      <c r="W10" s="312"/>
      <c r="X10" s="198">
        <v>4</v>
      </c>
      <c r="Y10" s="308" t="s">
        <v>136</v>
      </c>
      <c r="Z10" s="310"/>
      <c r="AA10" s="200">
        <v>4760</v>
      </c>
      <c r="AC10" s="311"/>
      <c r="AD10" s="312"/>
      <c r="AE10" s="198">
        <v>4</v>
      </c>
      <c r="AF10" s="308" t="s">
        <v>136</v>
      </c>
      <c r="AG10" s="310"/>
      <c r="AH10" s="200">
        <v>5040</v>
      </c>
    </row>
    <row r="11" spans="1:34" x14ac:dyDescent="0.15">
      <c r="A11" s="311"/>
      <c r="B11" s="312"/>
      <c r="C11" s="198">
        <v>5</v>
      </c>
      <c r="D11" s="308" t="s">
        <v>134</v>
      </c>
      <c r="E11" s="310"/>
      <c r="F11" s="200">
        <v>3660</v>
      </c>
      <c r="H11" s="311"/>
      <c r="I11" s="312"/>
      <c r="J11" s="198">
        <v>5</v>
      </c>
      <c r="K11" s="308" t="s">
        <v>134</v>
      </c>
      <c r="L11" s="310"/>
      <c r="M11" s="200">
        <v>4300</v>
      </c>
      <c r="O11" s="311"/>
      <c r="P11" s="312"/>
      <c r="Q11" s="198">
        <v>5</v>
      </c>
      <c r="R11" s="308" t="s">
        <v>134</v>
      </c>
      <c r="S11" s="310"/>
      <c r="T11" s="200">
        <v>4330</v>
      </c>
      <c r="V11" s="311"/>
      <c r="W11" s="312"/>
      <c r="X11" s="198">
        <v>5</v>
      </c>
      <c r="Y11" s="308" t="s">
        <v>134</v>
      </c>
      <c r="Z11" s="310"/>
      <c r="AA11" s="200">
        <v>4240</v>
      </c>
      <c r="AC11" s="311"/>
      <c r="AD11" s="312"/>
      <c r="AE11" s="198">
        <v>5</v>
      </c>
      <c r="AF11" s="308" t="s">
        <v>134</v>
      </c>
      <c r="AG11" s="310"/>
      <c r="AH11" s="200">
        <v>4490</v>
      </c>
    </row>
    <row r="12" spans="1:34" x14ac:dyDescent="0.15">
      <c r="A12" s="311" t="s">
        <v>8</v>
      </c>
      <c r="B12" s="312" t="s">
        <v>25</v>
      </c>
      <c r="C12" s="308" t="s">
        <v>2</v>
      </c>
      <c r="D12" s="309"/>
      <c r="E12" s="310"/>
      <c r="F12" s="201">
        <v>10</v>
      </c>
      <c r="H12" s="311" t="s">
        <v>8</v>
      </c>
      <c r="I12" s="312" t="s">
        <v>25</v>
      </c>
      <c r="J12" s="308" t="s">
        <v>2</v>
      </c>
      <c r="K12" s="309"/>
      <c r="L12" s="310"/>
      <c r="M12" s="201">
        <v>20</v>
      </c>
      <c r="O12" s="311" t="s">
        <v>8</v>
      </c>
      <c r="P12" s="312" t="s">
        <v>25</v>
      </c>
      <c r="Q12" s="308" t="s">
        <v>2</v>
      </c>
      <c r="R12" s="309"/>
      <c r="S12" s="310"/>
      <c r="T12" s="201">
        <v>40</v>
      </c>
      <c r="V12" s="311" t="s">
        <v>8</v>
      </c>
      <c r="W12" s="312" t="s">
        <v>25</v>
      </c>
      <c r="X12" s="308" t="s">
        <v>2</v>
      </c>
      <c r="Y12" s="309"/>
      <c r="Z12" s="310"/>
      <c r="AA12" s="201">
        <v>20</v>
      </c>
      <c r="AC12" s="311" t="s">
        <v>8</v>
      </c>
      <c r="AD12" s="312" t="s">
        <v>25</v>
      </c>
      <c r="AE12" s="308" t="s">
        <v>2</v>
      </c>
      <c r="AF12" s="309"/>
      <c r="AG12" s="310"/>
      <c r="AH12" s="201">
        <v>30</v>
      </c>
    </row>
    <row r="13" spans="1:34" x14ac:dyDescent="0.15">
      <c r="A13" s="311"/>
      <c r="B13" s="312"/>
      <c r="C13" s="199" t="s">
        <v>5</v>
      </c>
      <c r="D13" s="199"/>
      <c r="E13" s="201"/>
      <c r="F13" s="201">
        <v>2200</v>
      </c>
      <c r="H13" s="311"/>
      <c r="I13" s="312"/>
      <c r="J13" s="308" t="s">
        <v>5</v>
      </c>
      <c r="K13" s="309"/>
      <c r="L13" s="310"/>
      <c r="M13" s="201">
        <v>2040</v>
      </c>
      <c r="O13" s="311"/>
      <c r="P13" s="312"/>
      <c r="Q13" s="308" t="s">
        <v>5</v>
      </c>
      <c r="R13" s="309"/>
      <c r="S13" s="310"/>
      <c r="T13" s="201">
        <v>2430</v>
      </c>
      <c r="V13" s="311"/>
      <c r="W13" s="312"/>
      <c r="X13" s="308" t="s">
        <v>5</v>
      </c>
      <c r="Y13" s="309"/>
      <c r="Z13" s="310"/>
      <c r="AA13" s="201">
        <v>2310</v>
      </c>
      <c r="AC13" s="311"/>
      <c r="AD13" s="312"/>
      <c r="AE13" s="308" t="s">
        <v>5</v>
      </c>
      <c r="AF13" s="309"/>
      <c r="AG13" s="310"/>
      <c r="AH13" s="201">
        <v>2410</v>
      </c>
    </row>
    <row r="14" spans="1:34" ht="27" customHeight="1" x14ac:dyDescent="0.15">
      <c r="A14" s="311"/>
      <c r="B14" s="202" t="s">
        <v>9</v>
      </c>
      <c r="C14" s="313" t="s">
        <v>125</v>
      </c>
      <c r="D14" s="313"/>
      <c r="E14" s="313"/>
      <c r="F14" s="313"/>
      <c r="H14" s="311"/>
      <c r="I14" s="202" t="s">
        <v>9</v>
      </c>
      <c r="J14" s="313" t="s">
        <v>125</v>
      </c>
      <c r="K14" s="313"/>
      <c r="L14" s="313"/>
      <c r="M14" s="313"/>
      <c r="O14" s="311"/>
      <c r="P14" s="202" t="s">
        <v>9</v>
      </c>
      <c r="Q14" s="313" t="s">
        <v>125</v>
      </c>
      <c r="R14" s="313"/>
      <c r="S14" s="313"/>
      <c r="T14" s="313"/>
      <c r="V14" s="311"/>
      <c r="W14" s="202" t="s">
        <v>9</v>
      </c>
      <c r="X14" s="313" t="s">
        <v>125</v>
      </c>
      <c r="Y14" s="313"/>
      <c r="Z14" s="313"/>
      <c r="AA14" s="313"/>
      <c r="AC14" s="311"/>
      <c r="AD14" s="202" t="s">
        <v>9</v>
      </c>
      <c r="AE14" s="313" t="s">
        <v>125</v>
      </c>
      <c r="AF14" s="313"/>
      <c r="AG14" s="313"/>
      <c r="AH14" s="313"/>
    </row>
    <row r="15" spans="1:34" ht="27" x14ac:dyDescent="0.15">
      <c r="A15" s="311"/>
      <c r="B15" s="202" t="s">
        <v>10</v>
      </c>
      <c r="C15" s="311" t="s">
        <v>126</v>
      </c>
      <c r="D15" s="311"/>
      <c r="E15" s="311"/>
      <c r="F15" s="311"/>
      <c r="H15" s="311"/>
      <c r="I15" s="202" t="s">
        <v>10</v>
      </c>
      <c r="J15" s="311" t="s">
        <v>126</v>
      </c>
      <c r="K15" s="311"/>
      <c r="L15" s="311"/>
      <c r="M15" s="311"/>
      <c r="O15" s="311"/>
      <c r="P15" s="202" t="s">
        <v>10</v>
      </c>
      <c r="Q15" s="311" t="s">
        <v>126</v>
      </c>
      <c r="R15" s="311"/>
      <c r="S15" s="311"/>
      <c r="T15" s="311"/>
      <c r="V15" s="311"/>
      <c r="W15" s="202" t="s">
        <v>10</v>
      </c>
      <c r="X15" s="311" t="s">
        <v>126</v>
      </c>
      <c r="Y15" s="311"/>
      <c r="Z15" s="311"/>
      <c r="AA15" s="311"/>
      <c r="AC15" s="311"/>
      <c r="AD15" s="202" t="s">
        <v>10</v>
      </c>
      <c r="AE15" s="311" t="s">
        <v>126</v>
      </c>
      <c r="AF15" s="311"/>
      <c r="AG15" s="311"/>
      <c r="AH15" s="311"/>
    </row>
    <row r="17" spans="1:34" x14ac:dyDescent="0.15">
      <c r="A17" s="308" t="s">
        <v>62</v>
      </c>
      <c r="B17" s="309"/>
      <c r="C17" s="309"/>
      <c r="D17" s="309"/>
      <c r="E17" s="310"/>
      <c r="F17" s="199" t="s">
        <v>7</v>
      </c>
      <c r="H17" s="308" t="s">
        <v>87</v>
      </c>
      <c r="I17" s="309"/>
      <c r="J17" s="309"/>
      <c r="K17" s="309"/>
      <c r="L17" s="310"/>
      <c r="M17" s="199" t="s">
        <v>7</v>
      </c>
      <c r="O17" s="308" t="s">
        <v>64</v>
      </c>
      <c r="P17" s="309"/>
      <c r="Q17" s="309"/>
      <c r="R17" s="309"/>
      <c r="S17" s="310"/>
      <c r="T17" s="199" t="s">
        <v>7</v>
      </c>
      <c r="V17" s="308" t="s">
        <v>65</v>
      </c>
      <c r="W17" s="309"/>
      <c r="X17" s="309"/>
      <c r="Y17" s="309"/>
      <c r="Z17" s="310"/>
      <c r="AA17" s="199" t="s">
        <v>7</v>
      </c>
      <c r="AC17" s="308" t="s">
        <v>135</v>
      </c>
      <c r="AD17" s="309"/>
      <c r="AE17" s="309"/>
      <c r="AF17" s="309"/>
      <c r="AG17" s="310"/>
      <c r="AH17" s="199" t="s">
        <v>7</v>
      </c>
    </row>
    <row r="18" spans="1:34" x14ac:dyDescent="0.15">
      <c r="A18" s="311" t="s">
        <v>1</v>
      </c>
      <c r="B18" s="312" t="s">
        <v>2</v>
      </c>
      <c r="C18" s="198">
        <v>1</v>
      </c>
      <c r="D18" s="308" t="s">
        <v>3</v>
      </c>
      <c r="E18" s="310"/>
      <c r="F18" s="200">
        <v>160</v>
      </c>
      <c r="H18" s="311" t="s">
        <v>1</v>
      </c>
      <c r="I18" s="312" t="s">
        <v>2</v>
      </c>
      <c r="J18" s="198">
        <v>1</v>
      </c>
      <c r="K18" s="308" t="s">
        <v>3</v>
      </c>
      <c r="L18" s="310"/>
      <c r="M18" s="200">
        <v>190</v>
      </c>
      <c r="O18" s="311" t="s">
        <v>1</v>
      </c>
      <c r="P18" s="312" t="s">
        <v>2</v>
      </c>
      <c r="Q18" s="198">
        <v>1</v>
      </c>
      <c r="R18" s="308" t="s">
        <v>3</v>
      </c>
      <c r="S18" s="310"/>
      <c r="T18" s="200">
        <v>140</v>
      </c>
      <c r="V18" s="311" t="s">
        <v>1</v>
      </c>
      <c r="W18" s="312" t="s">
        <v>2</v>
      </c>
      <c r="X18" s="198">
        <v>1</v>
      </c>
      <c r="Y18" s="308" t="s">
        <v>3</v>
      </c>
      <c r="Z18" s="310"/>
      <c r="AA18" s="200">
        <v>140</v>
      </c>
      <c r="AC18" s="311" t="s">
        <v>1</v>
      </c>
      <c r="AD18" s="312" t="s">
        <v>2</v>
      </c>
      <c r="AE18" s="198">
        <v>1</v>
      </c>
      <c r="AF18" s="308" t="s">
        <v>3</v>
      </c>
      <c r="AG18" s="310"/>
      <c r="AH18" s="201">
        <v>200</v>
      </c>
    </row>
    <row r="19" spans="1:34" x14ac:dyDescent="0.15">
      <c r="A19" s="311"/>
      <c r="B19" s="312"/>
      <c r="C19" s="198">
        <v>2</v>
      </c>
      <c r="D19" s="308" t="s">
        <v>4</v>
      </c>
      <c r="E19" s="310"/>
      <c r="F19" s="200">
        <v>130</v>
      </c>
      <c r="H19" s="311"/>
      <c r="I19" s="312"/>
      <c r="J19" s="198">
        <v>2</v>
      </c>
      <c r="K19" s="308" t="s">
        <v>4</v>
      </c>
      <c r="L19" s="310"/>
      <c r="M19" s="200">
        <v>160</v>
      </c>
      <c r="O19" s="311"/>
      <c r="P19" s="312"/>
      <c r="Q19" s="198">
        <v>2</v>
      </c>
      <c r="R19" s="308" t="s">
        <v>4</v>
      </c>
      <c r="S19" s="310"/>
      <c r="T19" s="200">
        <v>120</v>
      </c>
      <c r="V19" s="311"/>
      <c r="W19" s="312"/>
      <c r="X19" s="198">
        <v>2</v>
      </c>
      <c r="Y19" s="308" t="s">
        <v>4</v>
      </c>
      <c r="Z19" s="310"/>
      <c r="AA19" s="200">
        <v>120</v>
      </c>
      <c r="AC19" s="311"/>
      <c r="AD19" s="312"/>
      <c r="AE19" s="198">
        <v>2</v>
      </c>
      <c r="AF19" s="308" t="s">
        <v>4</v>
      </c>
      <c r="AG19" s="310"/>
      <c r="AH19" s="201">
        <v>170</v>
      </c>
    </row>
    <row r="20" spans="1:34" x14ac:dyDescent="0.15">
      <c r="A20" s="311"/>
      <c r="B20" s="312"/>
      <c r="C20" s="198">
        <v>3</v>
      </c>
      <c r="D20" s="308" t="s">
        <v>137</v>
      </c>
      <c r="E20" s="310"/>
      <c r="F20" s="200">
        <v>110</v>
      </c>
      <c r="H20" s="311"/>
      <c r="I20" s="312"/>
      <c r="J20" s="198">
        <v>3</v>
      </c>
      <c r="K20" s="308" t="s">
        <v>137</v>
      </c>
      <c r="L20" s="310"/>
      <c r="M20" s="200">
        <v>140</v>
      </c>
      <c r="O20" s="311"/>
      <c r="P20" s="312"/>
      <c r="Q20" s="198">
        <v>3</v>
      </c>
      <c r="R20" s="308" t="s">
        <v>137</v>
      </c>
      <c r="S20" s="310"/>
      <c r="T20" s="200">
        <v>100</v>
      </c>
      <c r="V20" s="311"/>
      <c r="W20" s="312"/>
      <c r="X20" s="198">
        <v>3</v>
      </c>
      <c r="Y20" s="308" t="s">
        <v>137</v>
      </c>
      <c r="Z20" s="310"/>
      <c r="AA20" s="200">
        <v>100</v>
      </c>
      <c r="AC20" s="311"/>
      <c r="AD20" s="312"/>
      <c r="AE20" s="198">
        <v>3</v>
      </c>
      <c r="AF20" s="308" t="s">
        <v>137</v>
      </c>
      <c r="AG20" s="310"/>
      <c r="AH20" s="201">
        <v>140</v>
      </c>
    </row>
    <row r="21" spans="1:34" x14ac:dyDescent="0.15">
      <c r="A21" s="311"/>
      <c r="B21" s="312"/>
      <c r="C21" s="198">
        <v>4</v>
      </c>
      <c r="D21" s="308" t="s">
        <v>136</v>
      </c>
      <c r="E21" s="310"/>
      <c r="F21" s="200">
        <v>110</v>
      </c>
      <c r="H21" s="311"/>
      <c r="I21" s="312"/>
      <c r="J21" s="198">
        <v>4</v>
      </c>
      <c r="K21" s="308" t="s">
        <v>136</v>
      </c>
      <c r="L21" s="310"/>
      <c r="M21" s="200">
        <v>140</v>
      </c>
      <c r="O21" s="311"/>
      <c r="P21" s="312"/>
      <c r="Q21" s="198">
        <v>4</v>
      </c>
      <c r="R21" s="308" t="s">
        <v>136</v>
      </c>
      <c r="S21" s="310"/>
      <c r="T21" s="200">
        <v>100</v>
      </c>
      <c r="V21" s="311"/>
      <c r="W21" s="312"/>
      <c r="X21" s="198">
        <v>4</v>
      </c>
      <c r="Y21" s="308" t="s">
        <v>136</v>
      </c>
      <c r="Z21" s="310"/>
      <c r="AA21" s="200">
        <v>110</v>
      </c>
      <c r="AC21" s="311"/>
      <c r="AD21" s="312"/>
      <c r="AE21" s="198">
        <v>4</v>
      </c>
      <c r="AF21" s="308" t="s">
        <v>136</v>
      </c>
      <c r="AG21" s="310"/>
      <c r="AH21" s="201">
        <v>150</v>
      </c>
    </row>
    <row r="22" spans="1:34" x14ac:dyDescent="0.15">
      <c r="A22" s="311"/>
      <c r="B22" s="312"/>
      <c r="C22" s="198">
        <v>5</v>
      </c>
      <c r="D22" s="308" t="s">
        <v>134</v>
      </c>
      <c r="E22" s="310"/>
      <c r="F22" s="200">
        <v>100</v>
      </c>
      <c r="H22" s="311"/>
      <c r="I22" s="312"/>
      <c r="J22" s="198">
        <v>5</v>
      </c>
      <c r="K22" s="308" t="s">
        <v>134</v>
      </c>
      <c r="L22" s="310"/>
      <c r="M22" s="200">
        <v>120</v>
      </c>
      <c r="O22" s="311"/>
      <c r="P22" s="312"/>
      <c r="Q22" s="198">
        <v>5</v>
      </c>
      <c r="R22" s="308" t="s">
        <v>134</v>
      </c>
      <c r="S22" s="310"/>
      <c r="T22" s="200">
        <v>90</v>
      </c>
      <c r="V22" s="311"/>
      <c r="W22" s="312"/>
      <c r="X22" s="198">
        <v>5</v>
      </c>
      <c r="Y22" s="308" t="s">
        <v>134</v>
      </c>
      <c r="Z22" s="310"/>
      <c r="AA22" s="200">
        <v>90</v>
      </c>
      <c r="AC22" s="311"/>
      <c r="AD22" s="312"/>
      <c r="AE22" s="198">
        <v>5</v>
      </c>
      <c r="AF22" s="308" t="s">
        <v>134</v>
      </c>
      <c r="AG22" s="310"/>
      <c r="AH22" s="201">
        <v>130</v>
      </c>
    </row>
    <row r="23" spans="1:34" x14ac:dyDescent="0.15">
      <c r="A23" s="311"/>
      <c r="B23" s="312" t="s">
        <v>5</v>
      </c>
      <c r="C23" s="198">
        <v>1</v>
      </c>
      <c r="D23" s="308" t="s">
        <v>3</v>
      </c>
      <c r="E23" s="310"/>
      <c r="F23" s="200">
        <v>7390</v>
      </c>
      <c r="H23" s="311"/>
      <c r="I23" s="312" t="s">
        <v>5</v>
      </c>
      <c r="J23" s="198">
        <v>1</v>
      </c>
      <c r="K23" s="308" t="s">
        <v>3</v>
      </c>
      <c r="L23" s="310"/>
      <c r="M23" s="200">
        <v>6320</v>
      </c>
      <c r="O23" s="311"/>
      <c r="P23" s="312" t="s">
        <v>5</v>
      </c>
      <c r="Q23" s="198">
        <v>1</v>
      </c>
      <c r="R23" s="308" t="s">
        <v>3</v>
      </c>
      <c r="S23" s="310"/>
      <c r="T23" s="200">
        <v>6380</v>
      </c>
      <c r="V23" s="311"/>
      <c r="W23" s="312" t="s">
        <v>5</v>
      </c>
      <c r="X23" s="198">
        <v>1</v>
      </c>
      <c r="Y23" s="308" t="s">
        <v>3</v>
      </c>
      <c r="Z23" s="310"/>
      <c r="AA23" s="200">
        <v>6330</v>
      </c>
      <c r="AC23" s="311"/>
      <c r="AD23" s="312" t="s">
        <v>5</v>
      </c>
      <c r="AE23" s="198">
        <v>1</v>
      </c>
      <c r="AF23" s="308" t="s">
        <v>3</v>
      </c>
      <c r="AG23" s="310"/>
      <c r="AH23" s="201">
        <v>5230</v>
      </c>
    </row>
    <row r="24" spans="1:34" x14ac:dyDescent="0.15">
      <c r="A24" s="311"/>
      <c r="B24" s="312"/>
      <c r="C24" s="198">
        <v>2</v>
      </c>
      <c r="D24" s="308" t="s">
        <v>4</v>
      </c>
      <c r="E24" s="310"/>
      <c r="F24" s="200">
        <v>6240</v>
      </c>
      <c r="H24" s="311"/>
      <c r="I24" s="312"/>
      <c r="J24" s="198">
        <v>2</v>
      </c>
      <c r="K24" s="308" t="s">
        <v>4</v>
      </c>
      <c r="L24" s="310"/>
      <c r="M24" s="200">
        <v>5330</v>
      </c>
      <c r="O24" s="311"/>
      <c r="P24" s="312"/>
      <c r="Q24" s="198">
        <v>2</v>
      </c>
      <c r="R24" s="308" t="s">
        <v>4</v>
      </c>
      <c r="S24" s="310"/>
      <c r="T24" s="200">
        <v>5380</v>
      </c>
      <c r="V24" s="311"/>
      <c r="W24" s="312"/>
      <c r="X24" s="198">
        <v>2</v>
      </c>
      <c r="Y24" s="308" t="s">
        <v>4</v>
      </c>
      <c r="Z24" s="310"/>
      <c r="AA24" s="200">
        <v>5350</v>
      </c>
      <c r="AC24" s="311"/>
      <c r="AD24" s="312"/>
      <c r="AE24" s="198">
        <v>2</v>
      </c>
      <c r="AF24" s="308" t="s">
        <v>4</v>
      </c>
      <c r="AG24" s="310"/>
      <c r="AH24" s="201">
        <v>4420</v>
      </c>
    </row>
    <row r="25" spans="1:34" x14ac:dyDescent="0.15">
      <c r="A25" s="311"/>
      <c r="B25" s="312"/>
      <c r="C25" s="198">
        <v>3</v>
      </c>
      <c r="D25" s="308" t="s">
        <v>137</v>
      </c>
      <c r="E25" s="310"/>
      <c r="F25" s="200">
        <v>5360</v>
      </c>
      <c r="H25" s="311"/>
      <c r="I25" s="312"/>
      <c r="J25" s="198">
        <v>3</v>
      </c>
      <c r="K25" s="308" t="s">
        <v>137</v>
      </c>
      <c r="L25" s="310"/>
      <c r="M25" s="200">
        <v>4580</v>
      </c>
      <c r="O25" s="311"/>
      <c r="P25" s="312"/>
      <c r="Q25" s="198">
        <v>3</v>
      </c>
      <c r="R25" s="308" t="s">
        <v>137</v>
      </c>
      <c r="S25" s="310"/>
      <c r="T25" s="200">
        <v>4620</v>
      </c>
      <c r="V25" s="311"/>
      <c r="W25" s="312"/>
      <c r="X25" s="198">
        <v>3</v>
      </c>
      <c r="Y25" s="308" t="s">
        <v>137</v>
      </c>
      <c r="Z25" s="310"/>
      <c r="AA25" s="200">
        <v>4590</v>
      </c>
      <c r="AC25" s="311"/>
      <c r="AD25" s="312"/>
      <c r="AE25" s="198">
        <v>3</v>
      </c>
      <c r="AF25" s="308" t="s">
        <v>137</v>
      </c>
      <c r="AG25" s="310"/>
      <c r="AH25" s="201">
        <v>3790</v>
      </c>
    </row>
    <row r="26" spans="1:34" x14ac:dyDescent="0.15">
      <c r="A26" s="311"/>
      <c r="B26" s="312"/>
      <c r="C26" s="198">
        <v>4</v>
      </c>
      <c r="D26" s="308" t="s">
        <v>136</v>
      </c>
      <c r="E26" s="310"/>
      <c r="F26" s="200">
        <v>5460</v>
      </c>
      <c r="H26" s="311"/>
      <c r="I26" s="312"/>
      <c r="J26" s="198">
        <v>4</v>
      </c>
      <c r="K26" s="308" t="s">
        <v>136</v>
      </c>
      <c r="L26" s="310"/>
      <c r="M26" s="200">
        <v>4670</v>
      </c>
      <c r="O26" s="311"/>
      <c r="P26" s="312"/>
      <c r="Q26" s="198">
        <v>4</v>
      </c>
      <c r="R26" s="308" t="s">
        <v>136</v>
      </c>
      <c r="S26" s="310"/>
      <c r="T26" s="200">
        <v>4720</v>
      </c>
      <c r="V26" s="311"/>
      <c r="W26" s="312"/>
      <c r="X26" s="198">
        <v>4</v>
      </c>
      <c r="Y26" s="308" t="s">
        <v>136</v>
      </c>
      <c r="Z26" s="310"/>
      <c r="AA26" s="200">
        <v>4690</v>
      </c>
      <c r="AC26" s="311"/>
      <c r="AD26" s="312"/>
      <c r="AE26" s="198">
        <v>4</v>
      </c>
      <c r="AF26" s="308" t="s">
        <v>136</v>
      </c>
      <c r="AG26" s="310"/>
      <c r="AH26" s="201">
        <v>3870</v>
      </c>
    </row>
    <row r="27" spans="1:34" x14ac:dyDescent="0.15">
      <c r="A27" s="311"/>
      <c r="B27" s="312"/>
      <c r="C27" s="198">
        <v>5</v>
      </c>
      <c r="D27" s="308" t="s">
        <v>134</v>
      </c>
      <c r="E27" s="310"/>
      <c r="F27" s="200">
        <v>4860</v>
      </c>
      <c r="H27" s="311"/>
      <c r="I27" s="312"/>
      <c r="J27" s="198">
        <v>5</v>
      </c>
      <c r="K27" s="308" t="s">
        <v>134</v>
      </c>
      <c r="L27" s="310"/>
      <c r="M27" s="200">
        <v>4160</v>
      </c>
      <c r="O27" s="311"/>
      <c r="P27" s="312"/>
      <c r="Q27" s="198">
        <v>5</v>
      </c>
      <c r="R27" s="308" t="s">
        <v>134</v>
      </c>
      <c r="S27" s="310"/>
      <c r="T27" s="200">
        <v>4200</v>
      </c>
      <c r="V27" s="311"/>
      <c r="W27" s="312"/>
      <c r="X27" s="198">
        <v>5</v>
      </c>
      <c r="Y27" s="308" t="s">
        <v>134</v>
      </c>
      <c r="Z27" s="310"/>
      <c r="AA27" s="200">
        <v>4170</v>
      </c>
      <c r="AC27" s="311"/>
      <c r="AD27" s="312"/>
      <c r="AE27" s="198">
        <v>5</v>
      </c>
      <c r="AF27" s="308" t="s">
        <v>134</v>
      </c>
      <c r="AG27" s="310"/>
      <c r="AH27" s="201">
        <v>3440</v>
      </c>
    </row>
    <row r="28" spans="1:34" x14ac:dyDescent="0.15">
      <c r="A28" s="311" t="s">
        <v>8</v>
      </c>
      <c r="B28" s="312" t="s">
        <v>25</v>
      </c>
      <c r="C28" s="308" t="s">
        <v>2</v>
      </c>
      <c r="D28" s="309"/>
      <c r="E28" s="310"/>
      <c r="F28" s="201">
        <v>30</v>
      </c>
      <c r="H28" s="311" t="s">
        <v>8</v>
      </c>
      <c r="I28" s="312" t="s">
        <v>25</v>
      </c>
      <c r="J28" s="308" t="s">
        <v>2</v>
      </c>
      <c r="K28" s="309"/>
      <c r="L28" s="310"/>
      <c r="M28" s="201">
        <v>30</v>
      </c>
      <c r="O28" s="311" t="s">
        <v>8</v>
      </c>
      <c r="P28" s="312" t="s">
        <v>25</v>
      </c>
      <c r="Q28" s="308" t="s">
        <v>2</v>
      </c>
      <c r="R28" s="309"/>
      <c r="S28" s="310"/>
      <c r="T28" s="201">
        <v>30</v>
      </c>
      <c r="V28" s="311" t="s">
        <v>8</v>
      </c>
      <c r="W28" s="312" t="s">
        <v>25</v>
      </c>
      <c r="X28" s="308" t="s">
        <v>2</v>
      </c>
      <c r="Y28" s="309"/>
      <c r="Z28" s="310"/>
      <c r="AA28" s="201">
        <v>10</v>
      </c>
      <c r="AC28" s="311" t="s">
        <v>8</v>
      </c>
      <c r="AD28" s="312" t="s">
        <v>25</v>
      </c>
      <c r="AE28" s="308" t="s">
        <v>2</v>
      </c>
      <c r="AF28" s="309"/>
      <c r="AG28" s="310"/>
      <c r="AH28" s="201">
        <v>30</v>
      </c>
    </row>
    <row r="29" spans="1:34" x14ac:dyDescent="0.15">
      <c r="A29" s="311"/>
      <c r="B29" s="312"/>
      <c r="C29" s="308" t="s">
        <v>5</v>
      </c>
      <c r="D29" s="309"/>
      <c r="E29" s="310"/>
      <c r="F29" s="201">
        <v>2320</v>
      </c>
      <c r="H29" s="311"/>
      <c r="I29" s="312"/>
      <c r="J29" s="308" t="s">
        <v>5</v>
      </c>
      <c r="K29" s="309"/>
      <c r="L29" s="310"/>
      <c r="M29" s="201">
        <v>2300</v>
      </c>
      <c r="O29" s="311"/>
      <c r="P29" s="312"/>
      <c r="Q29" s="308" t="s">
        <v>5</v>
      </c>
      <c r="R29" s="309"/>
      <c r="S29" s="310"/>
      <c r="T29" s="201">
        <v>2200</v>
      </c>
      <c r="V29" s="311"/>
      <c r="W29" s="312"/>
      <c r="X29" s="308" t="s">
        <v>5</v>
      </c>
      <c r="Y29" s="309"/>
      <c r="Z29" s="310"/>
      <c r="AA29" s="201">
        <v>2210</v>
      </c>
      <c r="AC29" s="311"/>
      <c r="AD29" s="312"/>
      <c r="AE29" s="308" t="s">
        <v>5</v>
      </c>
      <c r="AF29" s="309"/>
      <c r="AG29" s="310"/>
      <c r="AH29" s="201">
        <v>2460</v>
      </c>
    </row>
    <row r="30" spans="1:34" ht="27" customHeight="1" x14ac:dyDescent="0.15">
      <c r="A30" s="311"/>
      <c r="B30" s="202" t="s">
        <v>9</v>
      </c>
      <c r="C30" s="313" t="s">
        <v>125</v>
      </c>
      <c r="D30" s="313"/>
      <c r="E30" s="313"/>
      <c r="F30" s="313"/>
      <c r="H30" s="311"/>
      <c r="I30" s="202" t="s">
        <v>9</v>
      </c>
      <c r="J30" s="313" t="s">
        <v>125</v>
      </c>
      <c r="K30" s="313"/>
      <c r="L30" s="313"/>
      <c r="M30" s="313"/>
      <c r="O30" s="311"/>
      <c r="P30" s="202" t="s">
        <v>9</v>
      </c>
      <c r="Q30" s="313" t="s">
        <v>125</v>
      </c>
      <c r="R30" s="313"/>
      <c r="S30" s="313"/>
      <c r="T30" s="313"/>
      <c r="V30" s="311"/>
      <c r="W30" s="202" t="s">
        <v>9</v>
      </c>
      <c r="X30" s="313" t="s">
        <v>125</v>
      </c>
      <c r="Y30" s="313"/>
      <c r="Z30" s="313"/>
      <c r="AA30" s="313"/>
      <c r="AC30" s="311"/>
      <c r="AD30" s="202" t="s">
        <v>9</v>
      </c>
      <c r="AE30" s="313" t="s">
        <v>125</v>
      </c>
      <c r="AF30" s="313"/>
      <c r="AG30" s="313"/>
      <c r="AH30" s="313"/>
    </row>
    <row r="31" spans="1:34" ht="27" x14ac:dyDescent="0.15">
      <c r="A31" s="311"/>
      <c r="B31" s="202" t="s">
        <v>10</v>
      </c>
      <c r="C31" s="311" t="s">
        <v>126</v>
      </c>
      <c r="D31" s="311"/>
      <c r="E31" s="311"/>
      <c r="F31" s="311"/>
      <c r="H31" s="311"/>
      <c r="I31" s="202" t="s">
        <v>10</v>
      </c>
      <c r="J31" s="311" t="s">
        <v>126</v>
      </c>
      <c r="K31" s="311"/>
      <c r="L31" s="311"/>
      <c r="M31" s="311"/>
      <c r="O31" s="311"/>
      <c r="P31" s="202" t="s">
        <v>10</v>
      </c>
      <c r="Q31" s="311" t="s">
        <v>126</v>
      </c>
      <c r="R31" s="311"/>
      <c r="S31" s="311"/>
      <c r="T31" s="311"/>
      <c r="V31" s="311"/>
      <c r="W31" s="202" t="s">
        <v>10</v>
      </c>
      <c r="X31" s="311" t="s">
        <v>126</v>
      </c>
      <c r="Y31" s="311"/>
      <c r="Z31" s="311"/>
      <c r="AA31" s="311"/>
      <c r="AC31" s="311"/>
      <c r="AD31" s="202" t="s">
        <v>10</v>
      </c>
      <c r="AE31" s="311" t="s">
        <v>126</v>
      </c>
      <c r="AF31" s="311"/>
      <c r="AG31" s="311"/>
      <c r="AH31" s="311"/>
    </row>
  </sheetData>
  <sheetProtection algorithmName="SHA-512" hashValue="OJM039NMgXqQOXaS3oADnxKlkm5LTBNDOQZut20wEcdsUvlWSlgpwAVtF8pr3mFWdVDVgfCn81EHebg6CPbkUg==" saltValue="p4YmNOMaOqL6wFR8osCFaQ==" spinCount="100000" sheet="1" objects="1" scenarios="1"/>
  <mergeCells count="199">
    <mergeCell ref="D21:E21"/>
    <mergeCell ref="K21:L21"/>
    <mergeCell ref="R21:S21"/>
    <mergeCell ref="Y21:Z21"/>
    <mergeCell ref="AF21:AG21"/>
    <mergeCell ref="D26:E26"/>
    <mergeCell ref="K26:L26"/>
    <mergeCell ref="R26:S26"/>
    <mergeCell ref="Y26:Z26"/>
    <mergeCell ref="AF26:AG26"/>
    <mergeCell ref="AD23:AD27"/>
    <mergeCell ref="K5:L5"/>
    <mergeCell ref="R5:S5"/>
    <mergeCell ref="Y5:Z5"/>
    <mergeCell ref="AF5:AG5"/>
    <mergeCell ref="D10:E10"/>
    <mergeCell ref="K10:L10"/>
    <mergeCell ref="R10:S10"/>
    <mergeCell ref="Y10:Z10"/>
    <mergeCell ref="AF10:AG10"/>
    <mergeCell ref="H2:H11"/>
    <mergeCell ref="I2:I6"/>
    <mergeCell ref="I7:I11"/>
    <mergeCell ref="AD7:AD11"/>
    <mergeCell ref="O2:O11"/>
    <mergeCell ref="P2:P6"/>
    <mergeCell ref="P7:P11"/>
    <mergeCell ref="AC2:AC11"/>
    <mergeCell ref="AD2:AD6"/>
    <mergeCell ref="X28:Z28"/>
    <mergeCell ref="X29:Z29"/>
    <mergeCell ref="R18:S18"/>
    <mergeCell ref="R19:S19"/>
    <mergeCell ref="R22:S22"/>
    <mergeCell ref="R23:S23"/>
    <mergeCell ref="R24:S24"/>
    <mergeCell ref="R27:S27"/>
    <mergeCell ref="Q28:S28"/>
    <mergeCell ref="Q29:S29"/>
    <mergeCell ref="R20:S20"/>
    <mergeCell ref="Y20:Z20"/>
    <mergeCell ref="R25:S25"/>
    <mergeCell ref="Y25:Z25"/>
    <mergeCell ref="AE12:AG12"/>
    <mergeCell ref="AE13:AG13"/>
    <mergeCell ref="AF18:AG18"/>
    <mergeCell ref="AF2:AG2"/>
    <mergeCell ref="AF3:AG3"/>
    <mergeCell ref="AF6:AG6"/>
    <mergeCell ref="AF7:AG7"/>
    <mergeCell ref="AF8:AG8"/>
    <mergeCell ref="AE15:AH15"/>
    <mergeCell ref="AF4:AG4"/>
    <mergeCell ref="AF9:AG9"/>
    <mergeCell ref="AF11:AG11"/>
    <mergeCell ref="AC28:AC31"/>
    <mergeCell ref="AD28:AD29"/>
    <mergeCell ref="AE30:AH30"/>
    <mergeCell ref="C12:E12"/>
    <mergeCell ref="H1:L1"/>
    <mergeCell ref="K2:L2"/>
    <mergeCell ref="K3:L3"/>
    <mergeCell ref="K6:L6"/>
    <mergeCell ref="K7:L7"/>
    <mergeCell ref="K8:L8"/>
    <mergeCell ref="K11:L11"/>
    <mergeCell ref="J12:L12"/>
    <mergeCell ref="A1:E1"/>
    <mergeCell ref="D2:E2"/>
    <mergeCell ref="D3:E3"/>
    <mergeCell ref="D6:E6"/>
    <mergeCell ref="D7:E7"/>
    <mergeCell ref="D8:E8"/>
    <mergeCell ref="D11:E11"/>
    <mergeCell ref="B2:B6"/>
    <mergeCell ref="B7:B11"/>
    <mergeCell ref="R11:S11"/>
    <mergeCell ref="Q12:S12"/>
    <mergeCell ref="Q13:S13"/>
    <mergeCell ref="Q30:T30"/>
    <mergeCell ref="Q31:T31"/>
    <mergeCell ref="V18:V27"/>
    <mergeCell ref="W18:W22"/>
    <mergeCell ref="W23:W27"/>
    <mergeCell ref="V28:V31"/>
    <mergeCell ref="C31:F31"/>
    <mergeCell ref="X14:AA14"/>
    <mergeCell ref="AE14:AH14"/>
    <mergeCell ref="C30:F30"/>
    <mergeCell ref="O18:O27"/>
    <mergeCell ref="P18:P22"/>
    <mergeCell ref="P23:P27"/>
    <mergeCell ref="O28:O31"/>
    <mergeCell ref="P28:P29"/>
    <mergeCell ref="W28:W29"/>
    <mergeCell ref="X30:AA30"/>
    <mergeCell ref="X31:AA31"/>
    <mergeCell ref="Y18:Z18"/>
    <mergeCell ref="Y19:Z19"/>
    <mergeCell ref="Y22:Z22"/>
    <mergeCell ref="Y23:Z23"/>
    <mergeCell ref="AC18:AC27"/>
    <mergeCell ref="AD18:AD22"/>
    <mergeCell ref="X12:Z12"/>
    <mergeCell ref="X13:Z13"/>
    <mergeCell ref="AF19:AG19"/>
    <mergeCell ref="Y24:Z24"/>
    <mergeCell ref="Y27:Z27"/>
    <mergeCell ref="D18:E18"/>
    <mergeCell ref="D19:E19"/>
    <mergeCell ref="D22:E22"/>
    <mergeCell ref="D23:E23"/>
    <mergeCell ref="Q14:T14"/>
    <mergeCell ref="Q15:T15"/>
    <mergeCell ref="C14:F14"/>
    <mergeCell ref="C15:F15"/>
    <mergeCell ref="V12:V15"/>
    <mergeCell ref="W12:W13"/>
    <mergeCell ref="AC12:AC15"/>
    <mergeCell ref="AD12:AD13"/>
    <mergeCell ref="D20:E20"/>
    <mergeCell ref="K20:L20"/>
    <mergeCell ref="AF20:AG20"/>
    <mergeCell ref="D25:E25"/>
    <mergeCell ref="K25:L25"/>
    <mergeCell ref="AF25:AG25"/>
    <mergeCell ref="H12:H15"/>
    <mergeCell ref="I12:I13"/>
    <mergeCell ref="J13:L13"/>
    <mergeCell ref="A2:A11"/>
    <mergeCell ref="A28:A31"/>
    <mergeCell ref="B28:B29"/>
    <mergeCell ref="J28:L28"/>
    <mergeCell ref="J29:L29"/>
    <mergeCell ref="D24:E24"/>
    <mergeCell ref="D27:E27"/>
    <mergeCell ref="C28:E28"/>
    <mergeCell ref="C29:E29"/>
    <mergeCell ref="K22:L22"/>
    <mergeCell ref="K23:L23"/>
    <mergeCell ref="K24:L24"/>
    <mergeCell ref="K27:L27"/>
    <mergeCell ref="A18:A27"/>
    <mergeCell ref="B18:B22"/>
    <mergeCell ref="B23:B27"/>
    <mergeCell ref="A12:A15"/>
    <mergeCell ref="B12:B13"/>
    <mergeCell ref="D4:E4"/>
    <mergeCell ref="K4:L4"/>
    <mergeCell ref="D9:E9"/>
    <mergeCell ref="D5:E5"/>
    <mergeCell ref="O12:O15"/>
    <mergeCell ref="P12:P13"/>
    <mergeCell ref="J14:M14"/>
    <mergeCell ref="J15:M15"/>
    <mergeCell ref="X15:AA15"/>
    <mergeCell ref="Y2:Z2"/>
    <mergeCell ref="Y3:Z3"/>
    <mergeCell ref="Y6:Z6"/>
    <mergeCell ref="Y7:Z7"/>
    <mergeCell ref="Y8:Z8"/>
    <mergeCell ref="Y11:Z11"/>
    <mergeCell ref="R2:S2"/>
    <mergeCell ref="R3:S3"/>
    <mergeCell ref="R6:S6"/>
    <mergeCell ref="R7:S7"/>
    <mergeCell ref="R8:S8"/>
    <mergeCell ref="V2:V11"/>
    <mergeCell ref="W2:W6"/>
    <mergeCell ref="R4:S4"/>
    <mergeCell ref="Y4:Z4"/>
    <mergeCell ref="K9:L9"/>
    <mergeCell ref="R9:S9"/>
    <mergeCell ref="Y9:Z9"/>
    <mergeCell ref="W7:W11"/>
    <mergeCell ref="O1:S1"/>
    <mergeCell ref="V1:Z1"/>
    <mergeCell ref="AC1:AG1"/>
    <mergeCell ref="A17:E17"/>
    <mergeCell ref="H17:L17"/>
    <mergeCell ref="O17:S17"/>
    <mergeCell ref="V17:Z17"/>
    <mergeCell ref="AC17:AG17"/>
    <mergeCell ref="AE31:AH31"/>
    <mergeCell ref="AF22:AG22"/>
    <mergeCell ref="AF23:AG23"/>
    <mergeCell ref="AF24:AG24"/>
    <mergeCell ref="AF27:AG27"/>
    <mergeCell ref="AE28:AG28"/>
    <mergeCell ref="AE29:AG29"/>
    <mergeCell ref="I28:I29"/>
    <mergeCell ref="J30:M30"/>
    <mergeCell ref="H28:H31"/>
    <mergeCell ref="H18:H27"/>
    <mergeCell ref="I18:I22"/>
    <mergeCell ref="I23:I27"/>
    <mergeCell ref="J31:M31"/>
    <mergeCell ref="K18:L18"/>
    <mergeCell ref="K19:L19"/>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33</vt:i4>
      </vt:variant>
    </vt:vector>
  </HeadingPairs>
  <TitlesOfParts>
    <vt:vector size="37" baseType="lpstr">
      <vt:lpstr>使用上の注意点</vt:lpstr>
      <vt:lpstr>時間入力シート</vt:lpstr>
      <vt:lpstr>時刻入力シート</vt:lpstr>
      <vt:lpstr>公示運賃ｼｰﾄ</vt:lpstr>
      <vt:lpstr>使用上の注意点!Print_Area</vt:lpstr>
      <vt:lpstr>時間入力シート!Print_Area</vt:lpstr>
      <vt:lpstr>時刻入力シート!Print_Area</vt:lpstr>
      <vt:lpstr>沖縄</vt:lpstr>
      <vt:lpstr>沖縄K</vt:lpstr>
      <vt:lpstr>沖縄交</vt:lpstr>
      <vt:lpstr>関東</vt:lpstr>
      <vt:lpstr>関東K</vt:lpstr>
      <vt:lpstr>関東交</vt:lpstr>
      <vt:lpstr>近畿</vt:lpstr>
      <vt:lpstr>近畿K</vt:lpstr>
      <vt:lpstr>近畿交</vt:lpstr>
      <vt:lpstr>九州</vt:lpstr>
      <vt:lpstr>九州K</vt:lpstr>
      <vt:lpstr>九州交</vt:lpstr>
      <vt:lpstr>四国</vt:lpstr>
      <vt:lpstr>四国K</vt:lpstr>
      <vt:lpstr>四国交</vt:lpstr>
      <vt:lpstr>中国</vt:lpstr>
      <vt:lpstr>中国K</vt:lpstr>
      <vt:lpstr>中国交</vt:lpstr>
      <vt:lpstr>中部</vt:lpstr>
      <vt:lpstr>中部K</vt:lpstr>
      <vt:lpstr>中部交</vt:lpstr>
      <vt:lpstr>東北</vt:lpstr>
      <vt:lpstr>東北K</vt:lpstr>
      <vt:lpstr>東北交</vt:lpstr>
      <vt:lpstr>北海道</vt:lpstr>
      <vt:lpstr>北海道K</vt:lpstr>
      <vt:lpstr>北海道交</vt:lpstr>
      <vt:lpstr>北陸</vt:lpstr>
      <vt:lpstr>北陸K</vt:lpstr>
      <vt:lpstr>北陸交</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悠次 志田</cp:lastModifiedBy>
  <cp:lastPrinted>2023-09-06T12:28:49Z</cp:lastPrinted>
  <dcterms:created xsi:type="dcterms:W3CDTF">2014-04-22T04:49:31Z</dcterms:created>
  <dcterms:modified xsi:type="dcterms:W3CDTF">2025-05-21T09:53:50Z</dcterms:modified>
</cp:coreProperties>
</file>